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dd\Documents\6703210001_SEG\Calculations\"/>
    </mc:Choice>
  </mc:AlternateContent>
  <xr:revisionPtr revIDLastSave="0" documentId="13_ncr:1_{73B59A7A-D17A-4ED0-9376-D8797020A04A}" xr6:coauthVersionLast="47" xr6:coauthVersionMax="47" xr10:uidLastSave="{00000000-0000-0000-0000-000000000000}"/>
  <bookViews>
    <workbookView xWindow="-120" yWindow="-120" windowWidth="38640" windowHeight="16440" tabRatio="675" activeTab="1" xr2:uid="{00000000-000D-0000-FFFF-FFFF00000000}"/>
  </bookViews>
  <sheets>
    <sheet name="Phase 1 Calculations" sheetId="5" r:id="rId1"/>
    <sheet name="Phase 2 Calculations" sheetId="2" r:id="rId2"/>
    <sheet name="Sheet1" sheetId="3" r:id="rId3"/>
  </sheets>
  <definedNames>
    <definedName name="_xlnm.Print_Area" localSheetId="0">'Phase 1 Calculations'!$A$1:$N$133</definedName>
    <definedName name="_xlnm.Print_Area" localSheetId="1">'Phase 2 Calculations'!$A$1:$N$133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0" i="2" l="1"/>
  <c r="M8" i="2"/>
  <c r="H4" i="5"/>
  <c r="J41" i="5"/>
  <c r="J41" i="2"/>
  <c r="L41" i="2" s="1"/>
  <c r="M41" i="2" s="1"/>
  <c r="O6" i="2"/>
  <c r="O5" i="2"/>
  <c r="O4" i="2"/>
  <c r="L41" i="5"/>
  <c r="M41" i="5" s="1"/>
  <c r="L23" i="2"/>
  <c r="H4" i="2"/>
  <c r="O3" i="5"/>
  <c r="F20" i="5"/>
  <c r="H72" i="5"/>
  <c r="H57" i="5"/>
  <c r="J72" i="5"/>
  <c r="J87" i="5" s="1"/>
  <c r="L87" i="5" s="1"/>
  <c r="M87" i="5" s="1"/>
  <c r="J57" i="5"/>
  <c r="H23" i="5"/>
  <c r="F4" i="5"/>
  <c r="H103" i="2"/>
  <c r="M103" i="2" s="1"/>
  <c r="H102" i="2"/>
  <c r="M102" i="2" s="1"/>
  <c r="L102" i="2" s="1"/>
  <c r="H101" i="2"/>
  <c r="M101" i="2" s="1"/>
  <c r="H100" i="2"/>
  <c r="M100" i="2" s="1"/>
  <c r="H99" i="2"/>
  <c r="M99" i="2" s="1"/>
  <c r="H101" i="5"/>
  <c r="M101" i="5" s="1"/>
  <c r="H100" i="5"/>
  <c r="M100" i="5" s="1"/>
  <c r="H99" i="5"/>
  <c r="M99" i="5" s="1"/>
  <c r="H103" i="5"/>
  <c r="M103" i="5" s="1"/>
  <c r="H102" i="5"/>
  <c r="M102" i="5" s="1"/>
  <c r="L102" i="5" s="1"/>
  <c r="F20" i="2"/>
  <c r="I58" i="2"/>
  <c r="I73" i="2" s="1"/>
  <c r="I73" i="5"/>
  <c r="J76" i="5" s="1"/>
  <c r="I58" i="5"/>
  <c r="I42" i="5"/>
  <c r="M20" i="2"/>
  <c r="H11" i="2"/>
  <c r="M11" i="2" s="1"/>
  <c r="C122" i="2" s="1"/>
  <c r="M9" i="2"/>
  <c r="O20" i="5"/>
  <c r="M22" i="5" s="1"/>
  <c r="H91" i="5"/>
  <c r="H90" i="5"/>
  <c r="H89" i="5"/>
  <c r="H88" i="5"/>
  <c r="F87" i="5"/>
  <c r="H79" i="5"/>
  <c r="H78" i="5"/>
  <c r="H77" i="5"/>
  <c r="H73" i="5"/>
  <c r="F72" i="5"/>
  <c r="H64" i="5"/>
  <c r="H63" i="5"/>
  <c r="H62" i="5"/>
  <c r="H61" i="5"/>
  <c r="H60" i="5"/>
  <c r="H59" i="5"/>
  <c r="H58" i="5"/>
  <c r="F57" i="5"/>
  <c r="H45" i="5"/>
  <c r="H46" i="5" s="1"/>
  <c r="H44" i="5"/>
  <c r="H43" i="5"/>
  <c r="H42" i="5"/>
  <c r="F41" i="5"/>
  <c r="H32" i="5"/>
  <c r="J32" i="5" s="1"/>
  <c r="H31" i="5"/>
  <c r="J31" i="5" s="1"/>
  <c r="H30" i="5"/>
  <c r="J30" i="5" s="1"/>
  <c r="H29" i="5"/>
  <c r="J29" i="5" s="1"/>
  <c r="H28" i="5"/>
  <c r="J28" i="5" s="1"/>
  <c r="H27" i="5"/>
  <c r="J27" i="5" s="1"/>
  <c r="H26" i="5"/>
  <c r="J26" i="5" s="1"/>
  <c r="H25" i="5"/>
  <c r="J25" i="5" s="1"/>
  <c r="H24" i="5"/>
  <c r="J24" i="5" s="1"/>
  <c r="H8" i="5"/>
  <c r="M8" i="5" s="1"/>
  <c r="C122" i="5" s="1"/>
  <c r="M6" i="5"/>
  <c r="H32" i="2"/>
  <c r="J32" i="2" s="1"/>
  <c r="H61" i="2"/>
  <c r="H60" i="2"/>
  <c r="H59" i="2"/>
  <c r="H79" i="2"/>
  <c r="H78" i="2"/>
  <c r="H77" i="2"/>
  <c r="H45" i="2"/>
  <c r="J45" i="2" s="1"/>
  <c r="H44" i="2"/>
  <c r="J44" i="2" s="1"/>
  <c r="H43" i="2"/>
  <c r="J43" i="2" s="1"/>
  <c r="H73" i="2"/>
  <c r="H64" i="2"/>
  <c r="H63" i="2"/>
  <c r="H62" i="2"/>
  <c r="H58" i="2"/>
  <c r="H30" i="2"/>
  <c r="J30" i="2" s="1"/>
  <c r="H31" i="2"/>
  <c r="J31" i="2" s="1"/>
  <c r="H29" i="2"/>
  <c r="J29" i="2" s="1"/>
  <c r="H28" i="2"/>
  <c r="J28" i="2" s="1"/>
  <c r="H27" i="2"/>
  <c r="J27" i="2" s="1"/>
  <c r="H26" i="2"/>
  <c r="J26" i="2" s="1"/>
  <c r="H25" i="2"/>
  <c r="J25" i="2" s="1"/>
  <c r="H24" i="2"/>
  <c r="J24" i="2" s="1"/>
  <c r="H42" i="2"/>
  <c r="J42" i="2" s="1"/>
  <c r="M5" i="5" l="1"/>
  <c r="M4" i="5"/>
  <c r="J57" i="2"/>
  <c r="C117" i="2"/>
  <c r="J109" i="5"/>
  <c r="L111" i="5" s="1"/>
  <c r="M111" i="5" s="1"/>
  <c r="L109" i="5"/>
  <c r="M109" i="5" s="1"/>
  <c r="L110" i="5"/>
  <c r="M110" i="5" s="1"/>
  <c r="L23" i="5"/>
  <c r="M23" i="5" s="1"/>
  <c r="O4" i="5"/>
  <c r="L72" i="5"/>
  <c r="M72" i="5" s="1"/>
  <c r="L57" i="5"/>
  <c r="M57" i="5" s="1"/>
  <c r="M20" i="5"/>
  <c r="C117" i="5" s="1"/>
  <c r="M30" i="5"/>
  <c r="M31" i="5"/>
  <c r="M32" i="5"/>
  <c r="C133" i="5" s="1"/>
  <c r="C119" i="5"/>
  <c r="M29" i="5"/>
  <c r="M25" i="5"/>
  <c r="M21" i="5"/>
  <c r="C118" i="5" s="1"/>
  <c r="M26" i="5"/>
  <c r="M27" i="5"/>
  <c r="M24" i="5"/>
  <c r="M7" i="5"/>
  <c r="M28" i="5"/>
  <c r="C129" i="5" s="1"/>
  <c r="F72" i="2"/>
  <c r="F87" i="2"/>
  <c r="F4" i="2"/>
  <c r="F41" i="2"/>
  <c r="M43" i="2" s="1"/>
  <c r="M29" i="2"/>
  <c r="M27" i="2"/>
  <c r="J58" i="2"/>
  <c r="J64" i="2"/>
  <c r="M28" i="2"/>
  <c r="C129" i="2" s="1"/>
  <c r="M31" i="2"/>
  <c r="M30" i="2"/>
  <c r="J63" i="2"/>
  <c r="M32" i="2"/>
  <c r="C133" i="2" s="1"/>
  <c r="M24" i="2"/>
  <c r="J73" i="2"/>
  <c r="J77" i="2"/>
  <c r="J79" i="2"/>
  <c r="J78" i="2"/>
  <c r="J60" i="2"/>
  <c r="J59" i="2"/>
  <c r="J62" i="2"/>
  <c r="J61" i="2"/>
  <c r="M25" i="2"/>
  <c r="J79" i="5"/>
  <c r="M79" i="5" s="1"/>
  <c r="J77" i="5"/>
  <c r="M77" i="5" s="1"/>
  <c r="J78" i="5"/>
  <c r="M78" i="5" s="1"/>
  <c r="J73" i="5"/>
  <c r="M73" i="5" s="1"/>
  <c r="J74" i="5"/>
  <c r="M74" i="5" s="1"/>
  <c r="J75" i="5"/>
  <c r="M75" i="5" s="1"/>
  <c r="J59" i="5"/>
  <c r="M59" i="5" s="1"/>
  <c r="J60" i="5"/>
  <c r="J61" i="5"/>
  <c r="M61" i="5" s="1"/>
  <c r="J58" i="5"/>
  <c r="M58" i="5" s="1"/>
  <c r="J62" i="5"/>
  <c r="M62" i="5" s="1"/>
  <c r="J63" i="5"/>
  <c r="M63" i="5" s="1"/>
  <c r="J64" i="5"/>
  <c r="M64" i="5" s="1"/>
  <c r="J42" i="5"/>
  <c r="M42" i="5" s="1"/>
  <c r="J43" i="5"/>
  <c r="M43" i="5" s="1"/>
  <c r="J46" i="5"/>
  <c r="M46" i="5" s="1"/>
  <c r="J44" i="5"/>
  <c r="M44" i="5" s="1"/>
  <c r="M26" i="2"/>
  <c r="H47" i="2"/>
  <c r="J47" i="2" s="1"/>
  <c r="M10" i="2"/>
  <c r="H48" i="5"/>
  <c r="J48" i="5" s="1"/>
  <c r="M48" i="5" s="1"/>
  <c r="M89" i="5"/>
  <c r="M90" i="5"/>
  <c r="M91" i="5"/>
  <c r="M76" i="5"/>
  <c r="M88" i="5"/>
  <c r="H47" i="5"/>
  <c r="J47" i="5" s="1"/>
  <c r="M47" i="5" s="1"/>
  <c r="J45" i="5"/>
  <c r="M45" i="5" s="1"/>
  <c r="H48" i="2"/>
  <c r="J48" i="2" s="1"/>
  <c r="H46" i="2"/>
  <c r="J46" i="2" s="1"/>
  <c r="C120" i="5" l="1"/>
  <c r="L57" i="2"/>
  <c r="M57" i="2" s="1"/>
  <c r="J87" i="2"/>
  <c r="J72" i="2"/>
  <c r="L72" i="2" s="1"/>
  <c r="M72" i="2" s="1"/>
  <c r="C121" i="5"/>
  <c r="M4" i="2"/>
  <c r="M6" i="2"/>
  <c r="M5" i="2"/>
  <c r="M42" i="2"/>
  <c r="M60" i="5"/>
  <c r="C127" i="5" s="1"/>
  <c r="M7" i="2"/>
  <c r="M47" i="2"/>
  <c r="M45" i="2"/>
  <c r="M44" i="2"/>
  <c r="C123" i="5"/>
  <c r="M78" i="2"/>
  <c r="M79" i="2"/>
  <c r="M77" i="2"/>
  <c r="M73" i="2"/>
  <c r="M46" i="2"/>
  <c r="M48" i="2"/>
  <c r="C128" i="5"/>
  <c r="C126" i="5"/>
  <c r="C130" i="5"/>
  <c r="C132" i="5"/>
  <c r="C131" i="5"/>
  <c r="F3" i="3"/>
  <c r="G3" i="3"/>
  <c r="F4" i="3"/>
  <c r="G4" i="3"/>
  <c r="F5" i="3"/>
  <c r="G5" i="3"/>
  <c r="F7" i="3"/>
  <c r="G7" i="3"/>
  <c r="G2" i="3"/>
  <c r="F2" i="3"/>
  <c r="F57" i="2"/>
  <c r="M58" i="2" s="1"/>
  <c r="L87" i="2" l="1"/>
  <c r="M87" i="2" s="1"/>
  <c r="J109" i="2"/>
  <c r="C124" i="5"/>
  <c r="C125" i="5"/>
  <c r="M62" i="2"/>
  <c r="C130" i="2" s="1"/>
  <c r="M60" i="2"/>
  <c r="M61" i="2"/>
  <c r="M63" i="2"/>
  <c r="C131" i="2" s="1"/>
  <c r="M59" i="2"/>
  <c r="M64" i="2"/>
  <c r="C132" i="2" s="1"/>
  <c r="L111" i="2" l="1"/>
  <c r="M111" i="2" s="1"/>
  <c r="L109" i="2"/>
  <c r="M109" i="2" s="1"/>
  <c r="L110" i="2"/>
  <c r="M110" i="2" s="1"/>
  <c r="H91" i="2"/>
  <c r="M91" i="2" s="1"/>
  <c r="H90" i="2"/>
  <c r="M90" i="2" s="1"/>
  <c r="H89" i="2"/>
  <c r="M89" i="2" s="1"/>
  <c r="H88" i="2"/>
  <c r="M88" i="2" l="1"/>
  <c r="C123" i="2" s="1"/>
  <c r="M22" i="2"/>
  <c r="C119" i="2" s="1"/>
  <c r="M21" i="2"/>
  <c r="C118" i="2" s="1"/>
  <c r="J75" i="2" l="1"/>
  <c r="J74" i="2"/>
  <c r="M74" i="2" s="1"/>
  <c r="C126" i="2" s="1"/>
  <c r="J76" i="2"/>
  <c r="M76" i="2" l="1"/>
  <c r="C128" i="2" s="1"/>
  <c r="M75" i="2"/>
  <c r="C127" i="2" s="1"/>
  <c r="C125" i="2" l="1"/>
  <c r="C124" i="2"/>
  <c r="M23" i="2"/>
  <c r="C121" i="2" s="1"/>
  <c r="F6" i="3"/>
  <c r="G6" i="3"/>
</calcChain>
</file>

<file path=xl/sharedStrings.xml><?xml version="1.0" encoding="utf-8"?>
<sst xmlns="http://schemas.openxmlformats.org/spreadsheetml/2006/main" count="883" uniqueCount="168">
  <si>
    <t>S1</t>
  </si>
  <si>
    <t>S2</t>
  </si>
  <si>
    <t>Stack</t>
  </si>
  <si>
    <t>(lb/hr)</t>
  </si>
  <si>
    <t>(tpy)</t>
  </si>
  <si>
    <t>Emissions</t>
  </si>
  <si>
    <t>Pollutant</t>
  </si>
  <si>
    <t>NOX</t>
  </si>
  <si>
    <t>CO</t>
  </si>
  <si>
    <t>SO2</t>
  </si>
  <si>
    <t>Factor</t>
  </si>
  <si>
    <t>Control</t>
  </si>
  <si>
    <t>Source</t>
  </si>
  <si>
    <t>Notes</t>
  </si>
  <si>
    <t>[1]</t>
  </si>
  <si>
    <t>[2]</t>
  </si>
  <si>
    <t>Units</t>
  </si>
  <si>
    <t>--</t>
  </si>
  <si>
    <t>P1</t>
  </si>
  <si>
    <t>Process</t>
  </si>
  <si>
    <t>[3]</t>
  </si>
  <si>
    <t>ACET</t>
  </si>
  <si>
    <t>HCHO</t>
  </si>
  <si>
    <t>MEOH</t>
  </si>
  <si>
    <t>lb/ODT</t>
  </si>
  <si>
    <t>PM</t>
  </si>
  <si>
    <t>VOC (as C3)</t>
  </si>
  <si>
    <t xml:space="preserve">VOC/HAP </t>
  </si>
  <si>
    <t>RTO</t>
  </si>
  <si>
    <t>[4]</t>
  </si>
  <si>
    <t>tpy</t>
  </si>
  <si>
    <t>Value</t>
  </si>
  <si>
    <t>BIO</t>
  </si>
  <si>
    <t>lb/MMBtu</t>
  </si>
  <si>
    <t>LOG</t>
  </si>
  <si>
    <t>PILES</t>
  </si>
  <si>
    <t>HCl</t>
  </si>
  <si>
    <t>ACRO</t>
  </si>
  <si>
    <t>PHEN</t>
  </si>
  <si>
    <t>PROP</t>
  </si>
  <si>
    <t>DUMP1-3</t>
  </si>
  <si>
    <t>DBRK1-2</t>
  </si>
  <si>
    <t>CHIP1-2</t>
  </si>
  <si>
    <t>PM10/2.5</t>
  </si>
  <si>
    <t>lb/acre-day</t>
  </si>
  <si>
    <t>FUG</t>
  </si>
  <si>
    <t>ROADS</t>
  </si>
  <si>
    <t>lb/VMT</t>
  </si>
  <si>
    <t>AFP</t>
  </si>
  <si>
    <t>ACP</t>
  </si>
  <si>
    <t>TFP</t>
  </si>
  <si>
    <t>JP</t>
  </si>
  <si>
    <t>MMBtu/hr</t>
  </si>
  <si>
    <t>HWP</t>
  </si>
  <si>
    <t>HCHO = 0.002 lb/hr at 41.2 ton/hr = 4.85E-5 lb/ton; MeOH = 0.010 lb/hr at 41.2 ton/hr = 2.43E-4 lb/ton</t>
  </si>
  <si>
    <t>[4]  Jasper Pellets DHEC test report summary dated August 10, 2021.</t>
  </si>
  <si>
    <t>[3]  Jasper Pellets DHEC test report summary dated August 10, 2021.</t>
  </si>
  <si>
    <t>Green chip hopper</t>
  </si>
  <si>
    <t>Debarker hopper</t>
  </si>
  <si>
    <t>Green chip Clarke bin</t>
  </si>
  <si>
    <t>Dryer metering bin 2</t>
  </si>
  <si>
    <t>Dryer metering bin 1</t>
  </si>
  <si>
    <t>GREEN</t>
  </si>
  <si>
    <t>DRY</t>
  </si>
  <si>
    <t>Shavings/dust scalping screen</t>
  </si>
  <si>
    <t>Shavings/dust hopper</t>
  </si>
  <si>
    <t>Shavings/dust Clarke bin</t>
  </si>
  <si>
    <t>Green chip disk screen 2</t>
  </si>
  <si>
    <t>Rotex screen</t>
  </si>
  <si>
    <t>Fuel metering bin 1</t>
  </si>
  <si>
    <t>Fuel metering bin 2</t>
  </si>
  <si>
    <t>Fuel metering bin 3</t>
  </si>
  <si>
    <t>Fuel metering bin 4</t>
  </si>
  <si>
    <t>Green chip disk screen 1</t>
  </si>
  <si>
    <t>Shavings/dust disk screen 3</t>
  </si>
  <si>
    <t>BM&amp;M screen</t>
  </si>
  <si>
    <t>FUEL</t>
  </si>
  <si>
    <t>Sander dust silo</t>
  </si>
  <si>
    <t>Dust bin</t>
  </si>
  <si>
    <t>N/A</t>
  </si>
  <si>
    <t>Design Basis</t>
  </si>
  <si>
    <t>WESP1-4</t>
  </si>
  <si>
    <t>[2]  ACP finished pellet silo testing 1/21/2021: VOC = 0.120 lb/hr at 41.2 ton/hr = 0.003 lb/ton; ACET = 0.002 lb/hr at 41.2 ton/hr = 4.85E-5 lb/ton</t>
  </si>
  <si>
    <t>Limit</t>
  </si>
  <si>
    <t>gr/cf</t>
  </si>
  <si>
    <t>SILO1-16</t>
  </si>
  <si>
    <t>HAM1-6</t>
  </si>
  <si>
    <t>PM1-32
COOL1-4</t>
  </si>
  <si>
    <t>Table 2.  Drying</t>
  </si>
  <si>
    <t>Table 4.  Hammermills</t>
  </si>
  <si>
    <t>Table 5.  Pellet Mills + Coolers</t>
  </si>
  <si>
    <t>Table 7.  Emission Totals</t>
  </si>
  <si>
    <t>P2.1</t>
  </si>
  <si>
    <t>P2.2</t>
  </si>
  <si>
    <t>P3.1</t>
  </si>
  <si>
    <t>[3]  Georgia EPD recommended VOC and HAP emission factors.</t>
  </si>
  <si>
    <t>[2]  Georgia EPD recommended VOC and HAP emission factors.</t>
  </si>
  <si>
    <t>VOC</t>
  </si>
  <si>
    <t>Type</t>
  </si>
  <si>
    <t>Point</t>
  </si>
  <si>
    <t>HCHO = 0.003 lb/hr at 33.9 ton/hr = 8.85E-5 lb/ton; MeOH = 0.09 lb/hr at 33.9 ton/hr = 2.65E-3 lb/ton</t>
  </si>
  <si>
    <t>[3]  Assumed equal to MeOH factor.</t>
  </si>
  <si>
    <t>T_HAP</t>
  </si>
  <si>
    <t>O_HAP</t>
  </si>
  <si>
    <t>Point/C3</t>
  </si>
  <si>
    <t>Point/WPP1</t>
  </si>
  <si>
    <t>[2]  HWP dry chip silo testing 7/20/2021: VOC = 10.68 lb/hr at 33.9 ton/hr = 0.315 lb/ton; ACET = 0.02 lb/hr at 33.9 ton/hr = 5.90E-4 lb/ton</t>
  </si>
  <si>
    <t>Table 6.  Pellet Handling/Storage</t>
  </si>
  <si>
    <t>BUR1-4
DRY1-4</t>
  </si>
  <si>
    <t>Table 3.  Dry Wood Silos</t>
  </si>
  <si>
    <t xml:space="preserve"> </t>
  </si>
  <si>
    <t>SILO1-8</t>
  </si>
  <si>
    <t>PM1-16
COOL1-2</t>
  </si>
  <si>
    <t>BGH1-2</t>
  </si>
  <si>
    <t>Table 5.  Pellet Mills/Coolers</t>
  </si>
  <si>
    <t>P5.1</t>
  </si>
  <si>
    <t>BGH1</t>
  </si>
  <si>
    <t>BGH2-3</t>
  </si>
  <si>
    <t>[1]  Vendor estimate for NOX and CO.  AP-42, Table 1.6-2 for SO2.  Emissions based on 150 MMBtu/hr maximum overall BUR1-4 heat input rate.</t>
  </si>
  <si>
    <t>Table 7.  NG Boiler</t>
  </si>
  <si>
    <t>P7</t>
  </si>
  <si>
    <t>S3</t>
  </si>
  <si>
    <t>P4.1</t>
  </si>
  <si>
    <t>P6.1</t>
  </si>
  <si>
    <t>P6.2</t>
  </si>
  <si>
    <t>P5.2</t>
  </si>
  <si>
    <t>P4.2</t>
  </si>
  <si>
    <t>P3</t>
  </si>
  <si>
    <t>BGH3-6</t>
  </si>
  <si>
    <t>[1]  AP-42, Tables 1.6-1 and 1.6-2 for all pollutants.</t>
  </si>
  <si>
    <t>BLR</t>
  </si>
  <si>
    <t>DUMP1-2</t>
  </si>
  <si>
    <t>[2]  Estimated grain loading.  Includes filterable and condensable.</t>
  </si>
  <si>
    <t>[1]  Estimated grain loading.  Includes filterable and condensable.</t>
  </si>
  <si>
    <t>lb/ST</t>
  </si>
  <si>
    <t>Table 8.  Miscellaneous Dust Collection</t>
  </si>
  <si>
    <t>Table 9.  Emission Totals</t>
  </si>
  <si>
    <t>P8</t>
  </si>
  <si>
    <t>CYC</t>
  </si>
  <si>
    <t>Fuel Dust Cyclone</t>
  </si>
  <si>
    <t>BGH4</t>
  </si>
  <si>
    <t>Shredding/Screening/Transport 1</t>
  </si>
  <si>
    <t>Shredding/Screening/Transport 2</t>
  </si>
  <si>
    <t>BGH5</t>
  </si>
  <si>
    <t>[1]  https://www.epa.gov/sites/default/files/2016-09/documents/spmpteef_memo.pdf.  Assumes all PM10 equals PM2.5.</t>
  </si>
  <si>
    <t>DWS1-2</t>
  </si>
  <si>
    <t>HAM1-2</t>
  </si>
  <si>
    <t>BGH7</t>
  </si>
  <si>
    <t>BGH8</t>
  </si>
  <si>
    <t>[1]  Estimated grain loading.  Includes filterable and condensable PM.</t>
  </si>
  <si>
    <t>Table 1.  Fiber Handling and Storage</t>
  </si>
  <si>
    <t>SHRED1-3</t>
  </si>
  <si>
    <t>Sizing/Screening/Transport 1</t>
  </si>
  <si>
    <t>Sizing/Screening/Transport 2</t>
  </si>
  <si>
    <t>[2]  Conservatively assumed to be equal to CHIP emission factor.</t>
  </si>
  <si>
    <t>[3]  https://www3.epa.gov/ttnchie1/ap42/ch13/final/c13s0201.pdf</t>
  </si>
  <si>
    <t>[4]  NCASI Technical Bulletin 700.</t>
  </si>
  <si>
    <t>[2]  Assumed to be equal to CHIP emission factor.</t>
  </si>
  <si>
    <t>SHRED</t>
  </si>
  <si>
    <t>WESP1-2</t>
  </si>
  <si>
    <t>BUR1-2
DRY1-2</t>
  </si>
  <si>
    <t>ROAD</t>
  </si>
  <si>
    <t>PILE</t>
  </si>
  <si>
    <t>S4</t>
  </si>
  <si>
    <t>S5</t>
  </si>
  <si>
    <t>S6</t>
  </si>
  <si>
    <t>[2]  Estimated grain loading.   Includes filterable and condensable PM.</t>
  </si>
  <si>
    <t>[1]  Vendor estimate for NOX and CO.  AP-42, Table 1.6-2 for SO2.  Emissions based on 280 MMBtu/hr maximum overall BUR1-2/RTO heat input.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</si>
</sst>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0.000"/>
    <numFmt numFmtId="165" formatCode="0.0"/>
    <numFmt numFmtId="166" formatCode="#,##0\ &quot;ton/yr&quot;"/>
    <numFmt numFmtId="167" formatCode="0\ &quot;acres&quot;"/>
    <numFmt numFmtId="168" formatCode="0,000\ &quot;ton/yr&quot;"/>
    <numFmt numFmtId="169" formatCode="#,##0\ &quot;VMT&quot;"/>
    <numFmt numFmtId="170" formatCode="0,000\ &quot;ODT&quot;"/>
    <numFmt numFmtId="171" formatCode="0,000\ &quot;T&quot;"/>
    <numFmt numFmtId="172" formatCode="0.0%"/>
    <numFmt numFmtId="173" formatCode="0.0\ &quot;acres&quot;"/>
    <numFmt numFmtId="174" formatCode="0.0000"/>
    <numFmt numFmtId="175" formatCode="\2\5\ &quot;MMBtu/hr&quot;"/>
    <numFmt numFmtId="176" formatCode="#,##0\ &quot;cfm&quot;"/>
    <numFmt numFmtId="177" formatCode="0\ &quot;MMBtu/hr&quot;"/>
    <numFmt numFmtId="178" formatCode="#,##0\ &quot;MT&quot;"/>
    <numFmt numFmtId="179" formatCode="#,##0\ &quot;ST&quot;"/>
    <numFmt numFmtId="180" formatCode="#,##0.0"/>
    <numFmt numFmtId="181" formatCode="0,000\ &quot;ST&quot;"/>
  </numFmts>
  <fonts count="7" x14ac:knownFonts="1">
    <font>
      <sz val="11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96">
    <xf numFmtId="0" fontId="0" fillId="0" borderId="0" xfId="0"/>
    <xf numFmtId="166" fontId="2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166" fontId="2" fillId="0" borderId="0" xfId="0" applyNumberFormat="1" applyFont="1" applyFill="1" applyAlignment="1">
      <alignment horizontal="left" vertical="center"/>
    </xf>
    <xf numFmtId="2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11" fontId="2" fillId="0" borderId="0" xfId="0" applyNumberFormat="1" applyFont="1" applyFill="1" applyAlignment="1">
      <alignment horizontal="center" vertical="center"/>
    </xf>
    <xf numFmtId="2" fontId="2" fillId="0" borderId="0" xfId="0" quotePrefix="1" applyNumberFormat="1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2" fontId="2" fillId="0" borderId="2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4" fontId="2" fillId="2" borderId="3" xfId="0" applyNumberFormat="1" applyFont="1" applyFill="1" applyBorder="1" applyAlignment="1">
      <alignment horizontal="left" vertical="center"/>
    </xf>
    <xf numFmtId="2" fontId="2" fillId="2" borderId="3" xfId="0" applyNumberFormat="1" applyFont="1" applyFill="1" applyBorder="1" applyAlignment="1">
      <alignment horizontal="left" vertical="center"/>
    </xf>
    <xf numFmtId="168" fontId="2" fillId="0" borderId="0" xfId="0" applyNumberFormat="1" applyFont="1" applyFill="1" applyBorder="1" applyAlignment="1">
      <alignment horizontal="left" vertical="center"/>
    </xf>
    <xf numFmtId="11" fontId="2" fillId="0" borderId="0" xfId="0" applyNumberFormat="1" applyFont="1" applyFill="1" applyBorder="1" applyAlignment="1">
      <alignment horizontal="left" vertical="center"/>
    </xf>
    <xf numFmtId="0" fontId="2" fillId="0" borderId="3" xfId="0" quotePrefix="1" applyFont="1" applyFill="1" applyBorder="1" applyAlignment="1">
      <alignment horizontal="left" vertical="center"/>
    </xf>
    <xf numFmtId="2" fontId="2" fillId="2" borderId="3" xfId="0" quotePrefix="1" applyNumberFormat="1" applyFont="1" applyFill="1" applyBorder="1" applyAlignment="1">
      <alignment horizontal="left" vertical="center"/>
    </xf>
    <xf numFmtId="2" fontId="2" fillId="0" borderId="3" xfId="0" applyNumberFormat="1" applyFont="1" applyFill="1" applyBorder="1" applyAlignment="1">
      <alignment horizontal="left" vertical="center"/>
    </xf>
    <xf numFmtId="165" fontId="2" fillId="2" borderId="3" xfId="0" applyNumberFormat="1" applyFont="1" applyFill="1" applyBorder="1" applyAlignment="1">
      <alignment horizontal="left" vertical="center"/>
    </xf>
    <xf numFmtId="0" fontId="2" fillId="0" borderId="0" xfId="0" applyFon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0" fontId="2" fillId="0" borderId="2" xfId="0" applyFont="1" applyFill="1" applyBorder="1" applyAlignment="1">
      <alignment horizontal="right" vertical="center"/>
    </xf>
    <xf numFmtId="1" fontId="2" fillId="2" borderId="1" xfId="0" applyNumberFormat="1" applyFont="1" applyFill="1" applyBorder="1" applyAlignment="1">
      <alignment horizontal="left" vertical="center"/>
    </xf>
    <xf numFmtId="169" fontId="2" fillId="2" borderId="1" xfId="0" applyNumberFormat="1" applyFont="1" applyFill="1" applyBorder="1" applyAlignment="1">
      <alignment horizontal="left" vertical="center" wrapText="1"/>
    </xf>
    <xf numFmtId="171" fontId="2" fillId="0" borderId="2" xfId="0" applyNumberFormat="1" applyFont="1" applyFill="1" applyBorder="1" applyAlignment="1">
      <alignment horizontal="left" vertical="center"/>
    </xf>
    <xf numFmtId="11" fontId="2" fillId="0" borderId="2" xfId="0" applyNumberFormat="1" applyFont="1" applyFill="1" applyBorder="1" applyAlignment="1">
      <alignment horizontal="left" vertical="center"/>
    </xf>
    <xf numFmtId="39" fontId="2" fillId="0" borderId="2" xfId="0" quotePrefix="1" applyNumberFormat="1" applyFont="1" applyFill="1" applyBorder="1" applyAlignment="1">
      <alignment horizontal="left" vertical="center"/>
    </xf>
    <xf numFmtId="1" fontId="2" fillId="0" borderId="3" xfId="0" applyNumberFormat="1" applyFont="1" applyFill="1" applyBorder="1" applyAlignment="1">
      <alignment horizontal="left" vertical="center"/>
    </xf>
    <xf numFmtId="9" fontId="2" fillId="0" borderId="3" xfId="1" applyFont="1" applyFill="1" applyBorder="1" applyAlignment="1">
      <alignment horizontal="left" vertical="center"/>
    </xf>
    <xf numFmtId="11" fontId="2" fillId="2" borderId="3" xfId="0" applyNumberFormat="1" applyFont="1" applyFill="1" applyBorder="1" applyAlignment="1">
      <alignment horizontal="left" vertical="center"/>
    </xf>
    <xf numFmtId="0" fontId="2" fillId="2" borderId="3" xfId="0" quotePrefix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2" xfId="0" quotePrefix="1" applyFont="1" applyFill="1" applyBorder="1" applyAlignment="1">
      <alignment horizontal="left" vertical="center"/>
    </xf>
    <xf numFmtId="0" fontId="2" fillId="0" borderId="0" xfId="0" quotePrefix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left" vertical="center"/>
    </xf>
    <xf numFmtId="2" fontId="2" fillId="2" borderId="0" xfId="0" applyNumberFormat="1" applyFont="1" applyFill="1" applyBorder="1" applyAlignment="1">
      <alignment horizontal="left" vertical="center"/>
    </xf>
    <xf numFmtId="2" fontId="2" fillId="0" borderId="0" xfId="0" applyNumberFormat="1" applyFont="1" applyFill="1" applyBorder="1" applyAlignment="1">
      <alignment horizontal="left" vertical="center"/>
    </xf>
    <xf numFmtId="0" fontId="2" fillId="0" borderId="2" xfId="0" quotePrefix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2" fontId="2" fillId="0" borderId="0" xfId="0" applyNumberFormat="1" applyFont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 wrapText="1"/>
    </xf>
    <xf numFmtId="0" fontId="2" fillId="0" borderId="0" xfId="0" quotePrefix="1" applyFont="1" applyFill="1" applyBorder="1" applyAlignment="1">
      <alignment horizontal="left" vertical="center"/>
    </xf>
    <xf numFmtId="172" fontId="2" fillId="0" borderId="3" xfId="1" quotePrefix="1" applyNumberFormat="1" applyFont="1" applyFill="1" applyBorder="1" applyAlignment="1">
      <alignment horizontal="left" vertical="center"/>
    </xf>
    <xf numFmtId="176" fontId="2" fillId="0" borderId="0" xfId="0" applyNumberFormat="1" applyFont="1" applyFill="1" applyAlignment="1">
      <alignment horizontal="left" vertical="center"/>
    </xf>
    <xf numFmtId="176" fontId="2" fillId="2" borderId="3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76" fontId="2" fillId="2" borderId="1" xfId="0" applyNumberFormat="1" applyFont="1" applyFill="1" applyBorder="1" applyAlignment="1">
      <alignment horizontal="left" vertical="center"/>
    </xf>
    <xf numFmtId="165" fontId="2" fillId="0" borderId="3" xfId="0" applyNumberFormat="1" applyFont="1" applyFill="1" applyBorder="1" applyAlignment="1">
      <alignment horizontal="left" vertical="center"/>
    </xf>
    <xf numFmtId="2" fontId="2" fillId="0" borderId="3" xfId="0" quotePrefix="1" applyNumberFormat="1" applyFont="1" applyFill="1" applyBorder="1" applyAlignment="1">
      <alignment horizontal="left" vertical="center"/>
    </xf>
    <xf numFmtId="1" fontId="2" fillId="2" borderId="3" xfId="0" applyNumberFormat="1" applyFont="1" applyFill="1" applyBorder="1" applyAlignment="1">
      <alignment horizontal="left" vertical="center"/>
    </xf>
    <xf numFmtId="174" fontId="2" fillId="2" borderId="3" xfId="0" applyNumberFormat="1" applyFont="1" applyFill="1" applyBorder="1" applyAlignment="1">
      <alignment horizontal="left" vertical="center"/>
    </xf>
    <xf numFmtId="174" fontId="2" fillId="2" borderId="3" xfId="0" quotePrefix="1" applyNumberFormat="1" applyFont="1" applyFill="1" applyBorder="1" applyAlignment="1">
      <alignment horizontal="left" vertical="center"/>
    </xf>
    <xf numFmtId="0" fontId="2" fillId="0" borderId="0" xfId="0" quotePrefix="1" applyFont="1" applyFill="1" applyAlignment="1">
      <alignment horizontal="left" vertical="center"/>
    </xf>
    <xf numFmtId="180" fontId="2" fillId="0" borderId="3" xfId="0" applyNumberFormat="1" applyFont="1" applyFill="1" applyBorder="1" applyAlignment="1">
      <alignment horizontal="left" vertical="center"/>
    </xf>
    <xf numFmtId="178" fontId="2" fillId="0" borderId="0" xfId="0" applyNumberFormat="1" applyFont="1" applyFill="1" applyAlignment="1">
      <alignment horizontal="left" vertical="center"/>
    </xf>
    <xf numFmtId="177" fontId="2" fillId="0" borderId="0" xfId="0" applyNumberFormat="1" applyFont="1" applyFill="1" applyAlignment="1">
      <alignment horizontal="left" vertical="center"/>
    </xf>
    <xf numFmtId="4" fontId="2" fillId="2" borderId="3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0" borderId="2" xfId="0" quotePrefix="1" applyFont="1" applyFill="1" applyBorder="1" applyAlignment="1">
      <alignment horizontal="left" vertical="center"/>
    </xf>
    <xf numFmtId="0" fontId="2" fillId="0" borderId="0" xfId="0" quotePrefix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left" vertical="center"/>
    </xf>
    <xf numFmtId="2" fontId="2" fillId="0" borderId="0" xfId="0" applyNumberFormat="1" applyFont="1" applyFill="1" applyBorder="1" applyAlignment="1">
      <alignment horizontal="left" vertical="center"/>
    </xf>
    <xf numFmtId="2" fontId="2" fillId="2" borderId="0" xfId="0" applyNumberFormat="1" applyFont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2" xfId="0" quotePrefix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3" xfId="0" quotePrefix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2" borderId="3" xfId="0" quotePrefix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2" fontId="2" fillId="2" borderId="3" xfId="0" quotePrefix="1" applyNumberFormat="1" applyFont="1" applyFill="1" applyBorder="1" applyAlignment="1">
      <alignment horizontal="left" vertical="center"/>
    </xf>
    <xf numFmtId="2" fontId="2" fillId="2" borderId="3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2" fontId="2" fillId="0" borderId="3" xfId="0" quotePrefix="1" applyNumberFormat="1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2" fontId="2" fillId="2" borderId="2" xfId="0" quotePrefix="1" applyNumberFormat="1" applyFont="1" applyFill="1" applyBorder="1" applyAlignment="1">
      <alignment horizontal="left" vertical="center"/>
    </xf>
    <xf numFmtId="2" fontId="2" fillId="2" borderId="0" xfId="0" quotePrefix="1" applyNumberFormat="1" applyFont="1" applyFill="1" applyBorder="1" applyAlignment="1">
      <alignment horizontal="left" vertical="center"/>
    </xf>
    <xf numFmtId="2" fontId="2" fillId="2" borderId="1" xfId="0" quotePrefix="1" applyNumberFormat="1" applyFont="1" applyFill="1" applyBorder="1" applyAlignment="1">
      <alignment horizontal="left" vertical="center"/>
    </xf>
    <xf numFmtId="2" fontId="2" fillId="0" borderId="2" xfId="0" quotePrefix="1" applyNumberFormat="1" applyFont="1" applyFill="1" applyBorder="1" applyAlignment="1">
      <alignment horizontal="left" vertical="center"/>
    </xf>
    <xf numFmtId="2" fontId="2" fillId="0" borderId="0" xfId="0" quotePrefix="1" applyNumberFormat="1" applyFont="1" applyFill="1" applyBorder="1" applyAlignment="1">
      <alignment horizontal="left" vertical="center"/>
    </xf>
    <xf numFmtId="2" fontId="2" fillId="0" borderId="1" xfId="0" quotePrefix="1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79" fontId="2" fillId="2" borderId="2" xfId="0" applyNumberFormat="1" applyFont="1" applyFill="1" applyBorder="1" applyAlignment="1">
      <alignment horizontal="left" vertical="center"/>
    </xf>
    <xf numFmtId="179" fontId="2" fillId="2" borderId="0" xfId="0" applyNumberFormat="1" applyFont="1" applyFill="1" applyBorder="1" applyAlignment="1">
      <alignment horizontal="left" vertical="center"/>
    </xf>
    <xf numFmtId="179" fontId="2" fillId="2" borderId="1" xfId="0" applyNumberFormat="1" applyFont="1" applyFill="1" applyBorder="1" applyAlignment="1">
      <alignment horizontal="left" vertical="center"/>
    </xf>
    <xf numFmtId="9" fontId="2" fillId="0" borderId="2" xfId="1" applyNumberFormat="1" applyFont="1" applyFill="1" applyBorder="1" applyAlignment="1">
      <alignment horizontal="left" vertical="center"/>
    </xf>
    <xf numFmtId="9" fontId="2" fillId="0" borderId="0" xfId="1" applyNumberFormat="1" applyFont="1" applyFill="1" applyBorder="1" applyAlignment="1">
      <alignment horizontal="left" vertical="center"/>
    </xf>
    <xf numFmtId="9" fontId="2" fillId="0" borderId="1" xfId="1" applyNumberFormat="1" applyFont="1" applyFill="1" applyBorder="1" applyAlignment="1">
      <alignment horizontal="left" vertical="center"/>
    </xf>
    <xf numFmtId="0" fontId="2" fillId="2" borderId="2" xfId="0" quotePrefix="1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2" xfId="0" quotePrefix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quotePrefix="1" applyFont="1" applyFill="1" applyBorder="1" applyAlignment="1">
      <alignment horizontal="left" vertical="center" wrapText="1"/>
    </xf>
    <xf numFmtId="0" fontId="2" fillId="0" borderId="0" xfId="0" quotePrefix="1" applyFont="1" applyFill="1" applyBorder="1" applyAlignment="1">
      <alignment horizontal="left" vertical="center" wrapText="1"/>
    </xf>
    <xf numFmtId="0" fontId="2" fillId="0" borderId="1" xfId="0" quotePrefix="1" applyFont="1" applyFill="1" applyBorder="1" applyAlignment="1">
      <alignment horizontal="left" vertical="center" wrapText="1"/>
    </xf>
    <xf numFmtId="177" fontId="2" fillId="2" borderId="2" xfId="0" applyNumberFormat="1" applyFont="1" applyFill="1" applyBorder="1" applyAlignment="1">
      <alignment horizontal="left" vertical="center"/>
    </xf>
    <xf numFmtId="177" fontId="2" fillId="2" borderId="0" xfId="0" applyNumberFormat="1" applyFont="1" applyFill="1" applyBorder="1" applyAlignment="1">
      <alignment horizontal="left" vertical="center"/>
    </xf>
    <xf numFmtId="177" fontId="2" fillId="2" borderId="1" xfId="0" applyNumberFormat="1" applyFont="1" applyFill="1" applyBorder="1" applyAlignment="1">
      <alignment horizontal="left" vertical="center"/>
    </xf>
    <xf numFmtId="0" fontId="2" fillId="2" borderId="2" xfId="0" quotePrefix="1" applyFont="1" applyFill="1" applyBorder="1" applyAlignment="1">
      <alignment horizontal="left" vertical="center" wrapText="1"/>
    </xf>
    <xf numFmtId="0" fontId="2" fillId="2" borderId="0" xfId="0" quotePrefix="1" applyFont="1" applyFill="1" applyBorder="1" applyAlignment="1">
      <alignment horizontal="left" vertical="center" wrapText="1"/>
    </xf>
    <xf numFmtId="0" fontId="2" fillId="2" borderId="1" xfId="0" quotePrefix="1" applyFont="1" applyFill="1" applyBorder="1" applyAlignment="1">
      <alignment horizontal="left" vertical="center" wrapText="1"/>
    </xf>
    <xf numFmtId="0" fontId="2" fillId="2" borderId="0" xfId="0" quotePrefix="1" applyFont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70" fontId="2" fillId="2" borderId="2" xfId="0" applyNumberFormat="1" applyFont="1" applyFill="1" applyBorder="1" applyAlignment="1">
      <alignment horizontal="left" vertical="center"/>
    </xf>
    <xf numFmtId="170" fontId="2" fillId="2" borderId="0" xfId="0" applyNumberFormat="1" applyFont="1" applyFill="1" applyBorder="1" applyAlignment="1">
      <alignment horizontal="left" vertical="center"/>
    </xf>
    <xf numFmtId="164" fontId="2" fillId="0" borderId="2" xfId="0" quotePrefix="1" applyNumberFormat="1" applyFont="1" applyFill="1" applyBorder="1" applyAlignment="1">
      <alignment horizontal="left" vertical="center"/>
    </xf>
    <xf numFmtId="164" fontId="2" fillId="0" borderId="0" xfId="0" quotePrefix="1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left" vertical="center"/>
    </xf>
    <xf numFmtId="164" fontId="2" fillId="2" borderId="2" xfId="0" quotePrefix="1" applyNumberFormat="1" applyFont="1" applyFill="1" applyBorder="1" applyAlignment="1">
      <alignment horizontal="left" vertical="center"/>
    </xf>
    <xf numFmtId="164" fontId="2" fillId="2" borderId="0" xfId="0" quotePrefix="1" applyNumberFormat="1" applyFont="1" applyFill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left" vertical="center"/>
    </xf>
    <xf numFmtId="2" fontId="2" fillId="0" borderId="0" xfId="0" applyNumberFormat="1" applyFont="1" applyFill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left" vertical="center"/>
    </xf>
    <xf numFmtId="2" fontId="2" fillId="2" borderId="0" xfId="0" applyNumberFormat="1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64" fontId="2" fillId="2" borderId="2" xfId="0" applyNumberFormat="1" applyFont="1" applyFill="1" applyBorder="1" applyAlignment="1">
      <alignment horizontal="left" vertical="center"/>
    </xf>
    <xf numFmtId="0" fontId="2" fillId="0" borderId="0" xfId="0" quotePrefix="1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3" fontId="2" fillId="2" borderId="2" xfId="0" applyNumberFormat="1" applyFont="1" applyFill="1" applyBorder="1" applyAlignment="1">
      <alignment horizontal="left" vertical="center"/>
    </xf>
    <xf numFmtId="173" fontId="0" fillId="0" borderId="1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72" fontId="2" fillId="0" borderId="2" xfId="1" quotePrefix="1" applyNumberFormat="1" applyFont="1" applyFill="1" applyBorder="1" applyAlignment="1">
      <alignment horizontal="left" vertical="center"/>
    </xf>
    <xf numFmtId="172" fontId="2" fillId="0" borderId="0" xfId="1" quotePrefix="1" applyNumberFormat="1" applyFont="1" applyFill="1" applyBorder="1" applyAlignment="1">
      <alignment horizontal="left" vertical="center"/>
    </xf>
    <xf numFmtId="172" fontId="2" fillId="0" borderId="1" xfId="1" quotePrefix="1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74" fontId="2" fillId="2" borderId="2" xfId="0" applyNumberFormat="1" applyFont="1" applyFill="1" applyBorder="1" applyAlignment="1">
      <alignment horizontal="left" vertical="center"/>
    </xf>
    <xf numFmtId="174" fontId="2" fillId="2" borderId="0" xfId="0" applyNumberFormat="1" applyFont="1" applyFill="1" applyBorder="1" applyAlignment="1">
      <alignment horizontal="left" vertical="center"/>
    </xf>
    <xf numFmtId="174" fontId="2" fillId="2" borderId="1" xfId="0" applyNumberFormat="1" applyFont="1" applyFill="1" applyBorder="1" applyAlignment="1">
      <alignment horizontal="left" vertical="center"/>
    </xf>
    <xf numFmtId="39" fontId="2" fillId="2" borderId="3" xfId="0" quotePrefix="1" applyNumberFormat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67" fontId="2" fillId="2" borderId="2" xfId="0" applyNumberFormat="1" applyFont="1" applyFill="1" applyBorder="1" applyAlignment="1">
      <alignment horizontal="left" vertical="center"/>
    </xf>
    <xf numFmtId="179" fontId="2" fillId="2" borderId="2" xfId="0" applyNumberFormat="1" applyFont="1" applyFill="1" applyBorder="1" applyAlignment="1">
      <alignment horizontal="left" vertical="center" wrapText="1"/>
    </xf>
    <xf numFmtId="179" fontId="2" fillId="2" borderId="0" xfId="0" applyNumberFormat="1" applyFont="1" applyFill="1" applyBorder="1" applyAlignment="1">
      <alignment horizontal="left" vertical="center" wrapText="1"/>
    </xf>
    <xf numFmtId="179" fontId="2" fillId="2" borderId="1" xfId="0" applyNumberFormat="1" applyFont="1" applyFill="1" applyBorder="1" applyAlignment="1">
      <alignment horizontal="left" vertical="center" wrapText="1"/>
    </xf>
    <xf numFmtId="0" fontId="2" fillId="0" borderId="3" xfId="0" quotePrefix="1" applyFont="1" applyFill="1" applyBorder="1" applyAlignment="1">
      <alignment horizontal="left" vertical="center"/>
    </xf>
    <xf numFmtId="2" fontId="2" fillId="2" borderId="3" xfId="0" quotePrefix="1" applyNumberFormat="1" applyFont="1" applyFill="1" applyBorder="1" applyAlignment="1">
      <alignment horizontal="left" vertical="center"/>
    </xf>
    <xf numFmtId="2" fontId="2" fillId="2" borderId="3" xfId="0" applyNumberFormat="1" applyFont="1" applyFill="1" applyBorder="1" applyAlignment="1">
      <alignment horizontal="left" vertical="center"/>
    </xf>
    <xf numFmtId="9" fontId="2" fillId="0" borderId="3" xfId="1" applyNumberFormat="1" applyFont="1" applyFill="1" applyBorder="1" applyAlignment="1">
      <alignment horizontal="left" vertical="center"/>
    </xf>
    <xf numFmtId="181" fontId="2" fillId="2" borderId="2" xfId="0" applyNumberFormat="1" applyFont="1" applyFill="1" applyBorder="1" applyAlignment="1">
      <alignment horizontal="left" vertical="center"/>
    </xf>
    <xf numFmtId="181" fontId="2" fillId="2" borderId="0" xfId="0" applyNumberFormat="1" applyFont="1" applyFill="1" applyBorder="1" applyAlignment="1">
      <alignment horizontal="left" vertical="center"/>
    </xf>
    <xf numFmtId="181" fontId="2" fillId="2" borderId="1" xfId="0" applyNumberFormat="1" applyFont="1" applyFill="1" applyBorder="1" applyAlignment="1">
      <alignment horizontal="left" vertical="center"/>
    </xf>
    <xf numFmtId="0" fontId="2" fillId="2" borderId="3" xfId="0" quotePrefix="1" applyFont="1" applyFill="1" applyBorder="1" applyAlignment="1">
      <alignment horizontal="left" vertical="center"/>
    </xf>
    <xf numFmtId="175" fontId="2" fillId="2" borderId="2" xfId="0" applyNumberFormat="1" applyFont="1" applyFill="1" applyBorder="1" applyAlignment="1">
      <alignment horizontal="left" vertical="center"/>
    </xf>
    <xf numFmtId="175" fontId="2" fillId="2" borderId="0" xfId="0" applyNumberFormat="1" applyFont="1" applyFill="1" applyBorder="1" applyAlignment="1">
      <alignment horizontal="left" vertical="center"/>
    </xf>
    <xf numFmtId="175" fontId="2" fillId="2" borderId="1" xfId="0" applyNumberFormat="1" applyFont="1" applyFill="1" applyBorder="1" applyAlignment="1">
      <alignment horizontal="left" vertical="center"/>
    </xf>
    <xf numFmtId="2" fontId="2" fillId="0" borderId="3" xfId="0" quotePrefix="1" applyNumberFormat="1" applyFont="1" applyFill="1" applyBorder="1" applyAlignment="1">
      <alignment horizontal="left" vertical="center"/>
    </xf>
    <xf numFmtId="170" fontId="2" fillId="2" borderId="1" xfId="0" applyNumberFormat="1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B0893-BE35-4511-BF4B-91E529D7FB3E}">
  <dimension ref="A1:O133"/>
  <sheetViews>
    <sheetView showGridLines="0" view="pageBreakPreview" zoomScaleNormal="100" zoomScaleSheetLayoutView="100" workbookViewId="0"/>
  </sheetViews>
  <sheetFormatPr defaultColWidth="8.85546875" defaultRowHeight="10.5" customHeight="1" x14ac:dyDescent="0.25"/>
  <cols>
    <col min="1" max="1" width="8.140625" style="11" customWidth="1"/>
    <col min="2" max="2" width="9.42578125" style="11" customWidth="1"/>
    <col min="3" max="3" width="8.140625" style="11" bestFit="1" customWidth="1"/>
    <col min="4" max="4" width="5.28515625" style="11" bestFit="1" customWidth="1"/>
    <col min="5" max="5" width="8.42578125" style="11" customWidth="1"/>
    <col min="6" max="6" width="11.85546875" style="11" bestFit="1" customWidth="1"/>
    <col min="7" max="7" width="9.85546875" style="11" bestFit="1" customWidth="1"/>
    <col min="8" max="8" width="10.28515625" style="11" bestFit="1" customWidth="1"/>
    <col min="9" max="9" width="6.5703125" style="11" bestFit="1" customWidth="1"/>
    <col min="10" max="10" width="7.7109375" style="11" bestFit="1" customWidth="1"/>
    <col min="11" max="11" width="9.28515625" style="11" customWidth="1"/>
    <col min="12" max="13" width="8.5703125" style="11" bestFit="1" customWidth="1"/>
    <col min="14" max="14" width="5.7109375" style="11" bestFit="1" customWidth="1"/>
    <col min="15" max="15" width="14.42578125" style="11" customWidth="1"/>
    <col min="16" max="16384" width="8.85546875" style="11"/>
  </cols>
  <sheetData>
    <row r="1" spans="1:15" ht="10.5" customHeight="1" x14ac:dyDescent="0.25">
      <c r="A1" s="2" t="s">
        <v>150</v>
      </c>
      <c r="C1" s="2"/>
      <c r="N1" s="40"/>
    </row>
    <row r="2" spans="1:15" ht="10.5" customHeight="1" x14ac:dyDescent="0.25">
      <c r="A2" s="39"/>
      <c r="B2" s="36" t="s">
        <v>25</v>
      </c>
      <c r="C2" s="42" t="s">
        <v>27</v>
      </c>
      <c r="D2" s="36"/>
      <c r="E2" s="39"/>
      <c r="F2" s="36"/>
      <c r="G2" s="39"/>
      <c r="H2" s="36"/>
      <c r="I2" s="39"/>
      <c r="J2" s="36" t="s">
        <v>11</v>
      </c>
      <c r="K2" s="39"/>
      <c r="L2" s="36" t="s">
        <v>5</v>
      </c>
      <c r="M2" s="39" t="s">
        <v>5</v>
      </c>
      <c r="N2" s="36"/>
      <c r="O2" s="3">
        <v>600000</v>
      </c>
    </row>
    <row r="3" spans="1:15" ht="10.5" customHeight="1" x14ac:dyDescent="0.25">
      <c r="A3" s="41" t="s">
        <v>19</v>
      </c>
      <c r="B3" s="38" t="s">
        <v>11</v>
      </c>
      <c r="C3" s="41" t="s">
        <v>11</v>
      </c>
      <c r="D3" s="38" t="s">
        <v>2</v>
      </c>
      <c r="E3" s="41" t="s">
        <v>12</v>
      </c>
      <c r="F3" s="38" t="s">
        <v>80</v>
      </c>
      <c r="G3" s="41" t="s">
        <v>6</v>
      </c>
      <c r="H3" s="38" t="s">
        <v>10</v>
      </c>
      <c r="I3" s="41" t="s">
        <v>11</v>
      </c>
      <c r="J3" s="38" t="s">
        <v>10</v>
      </c>
      <c r="K3" s="41" t="s">
        <v>16</v>
      </c>
      <c r="L3" s="38" t="s">
        <v>3</v>
      </c>
      <c r="M3" s="41" t="s">
        <v>4</v>
      </c>
      <c r="N3" s="38" t="s">
        <v>13</v>
      </c>
      <c r="O3" s="75">
        <f>0.9*O2</f>
        <v>540000</v>
      </c>
    </row>
    <row r="4" spans="1:15" ht="10.5" customHeight="1" x14ac:dyDescent="0.25">
      <c r="A4" s="114" t="s">
        <v>18</v>
      </c>
      <c r="B4" s="123" t="s">
        <v>17</v>
      </c>
      <c r="C4" s="125" t="s">
        <v>17</v>
      </c>
      <c r="D4" s="123" t="s">
        <v>45</v>
      </c>
      <c r="E4" s="51" t="s">
        <v>131</v>
      </c>
      <c r="F4" s="117">
        <f>O2*2</f>
        <v>1200000</v>
      </c>
      <c r="G4" s="114" t="s">
        <v>43</v>
      </c>
      <c r="H4" s="156">
        <f>0.024*0.5</f>
        <v>1.2E-2</v>
      </c>
      <c r="I4" s="143" t="s">
        <v>17</v>
      </c>
      <c r="J4" s="147" t="s">
        <v>17</v>
      </c>
      <c r="K4" s="114" t="s">
        <v>134</v>
      </c>
      <c r="L4" s="17" t="s">
        <v>17</v>
      </c>
      <c r="M4" s="18">
        <f>H4*F4/2000</f>
        <v>7.2</v>
      </c>
      <c r="N4" s="86" t="s">
        <v>14</v>
      </c>
      <c r="O4" s="76">
        <f>O20+F99</f>
        <v>175</v>
      </c>
    </row>
    <row r="5" spans="1:15" s="94" customFormat="1" ht="10.5" customHeight="1" x14ac:dyDescent="0.25">
      <c r="A5" s="115"/>
      <c r="B5" s="137"/>
      <c r="C5" s="157"/>
      <c r="D5" s="137"/>
      <c r="E5" s="96" t="s">
        <v>158</v>
      </c>
      <c r="F5" s="119"/>
      <c r="G5" s="115"/>
      <c r="H5" s="150"/>
      <c r="I5" s="144"/>
      <c r="J5" s="148"/>
      <c r="K5" s="116"/>
      <c r="L5" s="99" t="s">
        <v>17</v>
      </c>
      <c r="M5" s="18">
        <f>H4*F4/2000</f>
        <v>7.2</v>
      </c>
      <c r="N5" s="86" t="s">
        <v>15</v>
      </c>
      <c r="O5" s="76"/>
    </row>
    <row r="6" spans="1:15" ht="10.5" customHeight="1" x14ac:dyDescent="0.25">
      <c r="A6" s="115"/>
      <c r="B6" s="137"/>
      <c r="C6" s="157"/>
      <c r="D6" s="137"/>
      <c r="E6" s="40" t="s">
        <v>46</v>
      </c>
      <c r="F6" s="27">
        <v>250</v>
      </c>
      <c r="G6" s="115"/>
      <c r="H6" s="26">
        <v>5</v>
      </c>
      <c r="I6" s="145"/>
      <c r="J6" s="149"/>
      <c r="K6" s="46" t="s">
        <v>47</v>
      </c>
      <c r="L6" s="17" t="s">
        <v>17</v>
      </c>
      <c r="M6" s="18">
        <f>H6*F6/2000</f>
        <v>0.625</v>
      </c>
      <c r="N6" s="38" t="s">
        <v>20</v>
      </c>
    </row>
    <row r="7" spans="1:15" ht="10.5" customHeight="1" x14ac:dyDescent="0.25">
      <c r="A7" s="115"/>
      <c r="B7" s="137"/>
      <c r="C7" s="158"/>
      <c r="D7" s="158"/>
      <c r="E7" s="114" t="s">
        <v>35</v>
      </c>
      <c r="F7" s="160">
        <v>2.5</v>
      </c>
      <c r="G7" s="116"/>
      <c r="H7" s="48">
        <v>4.3899999999999997</v>
      </c>
      <c r="I7" s="145"/>
      <c r="J7" s="149"/>
      <c r="K7" s="114" t="s">
        <v>44</v>
      </c>
      <c r="L7" s="17" t="s">
        <v>17</v>
      </c>
      <c r="M7" s="69">
        <f>H8*F7*365/2000</f>
        <v>2.0074999999999998</v>
      </c>
      <c r="N7" s="111" t="s">
        <v>29</v>
      </c>
    </row>
    <row r="8" spans="1:15" ht="10.5" customHeight="1" x14ac:dyDescent="0.25">
      <c r="A8" s="116"/>
      <c r="B8" s="155"/>
      <c r="C8" s="155"/>
      <c r="D8" s="155"/>
      <c r="E8" s="159"/>
      <c r="F8" s="161"/>
      <c r="G8" s="41" t="s">
        <v>26</v>
      </c>
      <c r="H8" s="13">
        <f>3.6*44/36</f>
        <v>4.4000000000000004</v>
      </c>
      <c r="I8" s="146"/>
      <c r="J8" s="150"/>
      <c r="K8" s="116"/>
      <c r="L8" s="17" t="s">
        <v>17</v>
      </c>
      <c r="M8" s="18">
        <f>H8*F7*365/2000</f>
        <v>2.0074999999999998</v>
      </c>
      <c r="N8" s="113"/>
    </row>
    <row r="9" spans="1:15" ht="10.5" customHeight="1" x14ac:dyDescent="0.25">
      <c r="A9" s="94" t="s">
        <v>144</v>
      </c>
      <c r="B9" s="40"/>
      <c r="C9" s="40"/>
      <c r="D9" s="45"/>
      <c r="E9" s="40"/>
      <c r="F9" s="1"/>
      <c r="G9" s="40"/>
      <c r="H9" s="47"/>
      <c r="I9" s="47"/>
      <c r="J9" s="47"/>
      <c r="K9" s="40"/>
      <c r="L9" s="49"/>
      <c r="M9" s="49"/>
      <c r="N9" s="40"/>
    </row>
    <row r="10" spans="1:15" s="94" customFormat="1" ht="10.5" customHeight="1" x14ac:dyDescent="0.25">
      <c r="A10" s="94" t="s">
        <v>157</v>
      </c>
      <c r="B10" s="81"/>
      <c r="C10" s="81"/>
      <c r="D10" s="85"/>
      <c r="E10" s="81"/>
      <c r="F10" s="1"/>
      <c r="G10" s="81"/>
      <c r="H10" s="87"/>
      <c r="I10" s="87"/>
      <c r="J10" s="87"/>
      <c r="K10" s="81"/>
      <c r="L10" s="88"/>
      <c r="M10" s="88"/>
      <c r="N10" s="81"/>
    </row>
    <row r="11" spans="1:15" ht="10.5" customHeight="1" x14ac:dyDescent="0.25">
      <c r="A11" s="94" t="s">
        <v>155</v>
      </c>
      <c r="B11" s="40"/>
      <c r="C11" s="40"/>
      <c r="D11" s="45"/>
      <c r="E11" s="40"/>
      <c r="F11" s="1"/>
      <c r="G11" s="40"/>
      <c r="H11" s="47"/>
      <c r="I11" s="47"/>
      <c r="J11" s="47"/>
      <c r="K11" s="40"/>
      <c r="L11" s="49"/>
      <c r="M11" s="49"/>
      <c r="N11" s="40"/>
    </row>
    <row r="12" spans="1:15" ht="10.5" customHeight="1" x14ac:dyDescent="0.25">
      <c r="A12" s="94" t="s">
        <v>156</v>
      </c>
      <c r="B12" s="40"/>
      <c r="C12" s="40"/>
      <c r="D12" s="45"/>
      <c r="E12" s="40"/>
      <c r="F12" s="1"/>
      <c r="G12" s="40"/>
      <c r="H12" s="47"/>
      <c r="I12" s="47"/>
      <c r="J12" s="47"/>
      <c r="K12" s="40"/>
      <c r="L12" s="49"/>
      <c r="M12" s="49"/>
      <c r="N12" s="40"/>
    </row>
    <row r="13" spans="1:15" s="94" customFormat="1" ht="10.5" customHeight="1" x14ac:dyDescent="0.25">
      <c r="B13" s="81"/>
      <c r="C13" s="81"/>
      <c r="D13" s="85"/>
      <c r="E13" s="81"/>
      <c r="F13" s="1"/>
      <c r="G13" s="81"/>
      <c r="H13" s="87"/>
      <c r="I13" s="87"/>
      <c r="J13" s="87"/>
      <c r="K13" s="81"/>
      <c r="L13" s="88"/>
      <c r="M13" s="88"/>
      <c r="N13" s="81"/>
    </row>
    <row r="14" spans="1:15" s="94" customFormat="1" ht="10.5" customHeight="1" x14ac:dyDescent="0.25">
      <c r="B14" s="81"/>
      <c r="C14" s="81"/>
      <c r="D14" s="85"/>
      <c r="E14" s="81"/>
      <c r="F14" s="1"/>
      <c r="G14" s="81"/>
      <c r="H14" s="87"/>
      <c r="I14" s="87"/>
      <c r="J14" s="87"/>
      <c r="K14" s="81"/>
      <c r="L14" s="88"/>
      <c r="M14" s="88"/>
      <c r="N14" s="81"/>
    </row>
    <row r="15" spans="1:15" s="94" customFormat="1" ht="10.5" customHeight="1" x14ac:dyDescent="0.25">
      <c r="B15" s="81"/>
      <c r="C15" s="81"/>
      <c r="D15" s="85"/>
      <c r="E15" s="81"/>
      <c r="F15" s="1"/>
      <c r="G15" s="81"/>
      <c r="H15" s="87"/>
      <c r="I15" s="87"/>
      <c r="J15" s="87"/>
      <c r="K15" s="81"/>
      <c r="L15" s="88"/>
      <c r="M15" s="88"/>
      <c r="N15" s="81"/>
    </row>
    <row r="17" spans="1:15" ht="10.5" customHeight="1" x14ac:dyDescent="0.25">
      <c r="A17" s="2" t="s">
        <v>88</v>
      </c>
      <c r="B17" s="2"/>
      <c r="C17" s="2"/>
      <c r="N17" s="40"/>
    </row>
    <row r="18" spans="1:15" ht="10.5" customHeight="1" x14ac:dyDescent="0.25">
      <c r="A18" s="39"/>
      <c r="B18" s="36" t="s">
        <v>25</v>
      </c>
      <c r="C18" s="42" t="s">
        <v>27</v>
      </c>
      <c r="D18" s="36"/>
      <c r="E18" s="39"/>
      <c r="F18" s="36"/>
      <c r="G18" s="39"/>
      <c r="H18" s="36"/>
      <c r="I18" s="39"/>
      <c r="J18" s="36" t="s">
        <v>11</v>
      </c>
      <c r="K18" s="39"/>
      <c r="L18" s="36" t="s">
        <v>5</v>
      </c>
      <c r="M18" s="39" t="s">
        <v>5</v>
      </c>
      <c r="N18" s="36"/>
    </row>
    <row r="19" spans="1:15" ht="10.5" customHeight="1" x14ac:dyDescent="0.25">
      <c r="A19" s="41" t="s">
        <v>19</v>
      </c>
      <c r="B19" s="38" t="s">
        <v>11</v>
      </c>
      <c r="C19" s="41" t="s">
        <v>11</v>
      </c>
      <c r="D19" s="38" t="s">
        <v>2</v>
      </c>
      <c r="E19" s="41" t="s">
        <v>12</v>
      </c>
      <c r="F19" s="38" t="s">
        <v>80</v>
      </c>
      <c r="G19" s="41" t="s">
        <v>6</v>
      </c>
      <c r="H19" s="38" t="s">
        <v>10</v>
      </c>
      <c r="I19" s="41" t="s">
        <v>11</v>
      </c>
      <c r="J19" s="38" t="s">
        <v>10</v>
      </c>
      <c r="K19" s="41" t="s">
        <v>16</v>
      </c>
      <c r="L19" s="38" t="s">
        <v>3</v>
      </c>
      <c r="M19" s="41" t="s">
        <v>4</v>
      </c>
      <c r="N19" s="38" t="s">
        <v>13</v>
      </c>
    </row>
    <row r="20" spans="1:15" ht="10.5" customHeight="1" x14ac:dyDescent="0.25">
      <c r="A20" s="114" t="s">
        <v>92</v>
      </c>
      <c r="B20" s="111" t="s">
        <v>81</v>
      </c>
      <c r="C20" s="114" t="s">
        <v>32</v>
      </c>
      <c r="D20" s="111" t="s">
        <v>0</v>
      </c>
      <c r="E20" s="127" t="s">
        <v>108</v>
      </c>
      <c r="F20" s="141">
        <f>O2</f>
        <v>600000</v>
      </c>
      <c r="G20" s="51" t="s">
        <v>7</v>
      </c>
      <c r="H20" s="12">
        <v>0.19400000000000001</v>
      </c>
      <c r="I20" s="108" t="s">
        <v>17</v>
      </c>
      <c r="J20" s="105" t="s">
        <v>17</v>
      </c>
      <c r="K20" s="114" t="s">
        <v>33</v>
      </c>
      <c r="L20" s="34" t="s">
        <v>17</v>
      </c>
      <c r="M20" s="31">
        <f>O20*H20*8760/2000</f>
        <v>127.458</v>
      </c>
      <c r="N20" s="111" t="s">
        <v>14</v>
      </c>
      <c r="O20" s="11">
        <f>30+30+45+45</f>
        <v>150</v>
      </c>
    </row>
    <row r="21" spans="1:15" ht="10.5" customHeight="1" x14ac:dyDescent="0.2">
      <c r="A21" s="115"/>
      <c r="B21" s="112"/>
      <c r="C21" s="115"/>
      <c r="D21" s="112"/>
      <c r="E21" s="115"/>
      <c r="F21" s="142"/>
      <c r="G21" s="51" t="s">
        <v>8</v>
      </c>
      <c r="H21" s="12">
        <v>0.19400000000000001</v>
      </c>
      <c r="I21" s="151"/>
      <c r="J21" s="153"/>
      <c r="K21" s="115"/>
      <c r="L21" s="34" t="s">
        <v>17</v>
      </c>
      <c r="M21" s="31">
        <f>O20*H21*8760/2000</f>
        <v>127.458</v>
      </c>
      <c r="N21" s="112"/>
      <c r="O21" s="20"/>
    </row>
    <row r="22" spans="1:15" ht="10.5" customHeight="1" x14ac:dyDescent="0.2">
      <c r="A22" s="115"/>
      <c r="B22" s="112"/>
      <c r="C22" s="115"/>
      <c r="D22" s="112"/>
      <c r="E22" s="115"/>
      <c r="F22" s="142"/>
      <c r="G22" s="51" t="s">
        <v>9</v>
      </c>
      <c r="H22" s="12">
        <v>2.5000000000000001E-2</v>
      </c>
      <c r="I22" s="152"/>
      <c r="J22" s="154"/>
      <c r="K22" s="116"/>
      <c r="L22" s="34" t="s">
        <v>17</v>
      </c>
      <c r="M22" s="68">
        <f>O20*H22*8760/2000</f>
        <v>16.425000000000001</v>
      </c>
      <c r="N22" s="113"/>
      <c r="O22" s="20"/>
    </row>
    <row r="23" spans="1:15" ht="10.5" customHeight="1" x14ac:dyDescent="0.25">
      <c r="A23" s="115"/>
      <c r="B23" s="112"/>
      <c r="C23" s="115"/>
      <c r="D23" s="112"/>
      <c r="E23" s="115"/>
      <c r="F23" s="142"/>
      <c r="G23" s="51" t="s">
        <v>43</v>
      </c>
      <c r="H23" s="65">
        <f>(30+30+50+50)*1000</f>
        <v>160000</v>
      </c>
      <c r="I23" s="63" t="s">
        <v>17</v>
      </c>
      <c r="J23" s="71">
        <v>8.5000000000000006E-3</v>
      </c>
      <c r="K23" s="51" t="s">
        <v>84</v>
      </c>
      <c r="L23" s="19">
        <f>H23*60*J23/7000</f>
        <v>11.657142857142857</v>
      </c>
      <c r="M23" s="68">
        <f>L23*4.38</f>
        <v>51.058285714285709</v>
      </c>
      <c r="N23" s="38" t="s">
        <v>15</v>
      </c>
    </row>
    <row r="24" spans="1:15" ht="10.5" customHeight="1" x14ac:dyDescent="0.2">
      <c r="A24" s="115"/>
      <c r="B24" s="112"/>
      <c r="C24" s="115"/>
      <c r="D24" s="112"/>
      <c r="E24" s="115"/>
      <c r="F24" s="142"/>
      <c r="G24" s="51" t="s">
        <v>26</v>
      </c>
      <c r="H24" s="70">
        <f>6</f>
        <v>6</v>
      </c>
      <c r="I24" s="120">
        <v>0.92</v>
      </c>
      <c r="J24" s="19">
        <f>(1-I24)*H24</f>
        <v>0.47999999999999976</v>
      </c>
      <c r="K24" s="114" t="s">
        <v>24</v>
      </c>
      <c r="L24" s="34" t="s">
        <v>17</v>
      </c>
      <c r="M24" s="31">
        <f>J24*F20/2000</f>
        <v>143.99999999999994</v>
      </c>
      <c r="N24" s="111" t="s">
        <v>20</v>
      </c>
      <c r="O24" s="20"/>
    </row>
    <row r="25" spans="1:15" ht="10.5" customHeight="1" x14ac:dyDescent="0.2">
      <c r="A25" s="115"/>
      <c r="B25" s="112"/>
      <c r="C25" s="115"/>
      <c r="D25" s="112"/>
      <c r="E25" s="115"/>
      <c r="F25" s="142"/>
      <c r="G25" s="35" t="s">
        <v>21</v>
      </c>
      <c r="H25" s="13">
        <f>0.11</f>
        <v>0.11</v>
      </c>
      <c r="I25" s="121"/>
      <c r="J25" s="33">
        <f>(1-I24)*H25</f>
        <v>8.7999999999999953E-3</v>
      </c>
      <c r="K25" s="115"/>
      <c r="L25" s="34" t="s">
        <v>17</v>
      </c>
      <c r="M25" s="18">
        <f>J25*F20/2000</f>
        <v>2.6399999999999988</v>
      </c>
      <c r="N25" s="112"/>
      <c r="O25" s="20"/>
    </row>
    <row r="26" spans="1:15" ht="10.5" customHeight="1" x14ac:dyDescent="0.2">
      <c r="A26" s="115"/>
      <c r="B26" s="112"/>
      <c r="C26" s="115"/>
      <c r="D26" s="112"/>
      <c r="E26" s="115"/>
      <c r="F26" s="142"/>
      <c r="G26" s="35" t="s">
        <v>22</v>
      </c>
      <c r="H26" s="13">
        <f>0.14</f>
        <v>0.14000000000000001</v>
      </c>
      <c r="I26" s="121"/>
      <c r="J26" s="33">
        <f>(1-I24)*H26</f>
        <v>1.1199999999999995E-2</v>
      </c>
      <c r="K26" s="115"/>
      <c r="L26" s="34" t="s">
        <v>17</v>
      </c>
      <c r="M26" s="18">
        <f>J26*F20/2000</f>
        <v>3.3599999999999981</v>
      </c>
      <c r="N26" s="112"/>
      <c r="O26" s="20"/>
    </row>
    <row r="27" spans="1:15" ht="10.5" customHeight="1" x14ac:dyDescent="0.2">
      <c r="A27" s="115"/>
      <c r="B27" s="112"/>
      <c r="C27" s="115"/>
      <c r="D27" s="112"/>
      <c r="E27" s="115"/>
      <c r="F27" s="142"/>
      <c r="G27" s="35" t="s">
        <v>23</v>
      </c>
      <c r="H27" s="13">
        <f>0.11</f>
        <v>0.11</v>
      </c>
      <c r="I27" s="121"/>
      <c r="J27" s="33">
        <f>(1-I24)*H27</f>
        <v>8.7999999999999953E-3</v>
      </c>
      <c r="K27" s="115"/>
      <c r="L27" s="34" t="s">
        <v>17</v>
      </c>
      <c r="M27" s="18">
        <f>J27*F20/2000</f>
        <v>2.6399999999999988</v>
      </c>
      <c r="N27" s="112"/>
      <c r="O27" s="20"/>
    </row>
    <row r="28" spans="1:15" ht="10.5" customHeight="1" x14ac:dyDescent="0.2">
      <c r="A28" s="115"/>
      <c r="B28" s="112"/>
      <c r="C28" s="115"/>
      <c r="D28" s="112"/>
      <c r="E28" s="115"/>
      <c r="F28" s="142"/>
      <c r="G28" s="35" t="s">
        <v>103</v>
      </c>
      <c r="H28" s="13">
        <f>0.19</f>
        <v>0.19</v>
      </c>
      <c r="I28" s="121"/>
      <c r="J28" s="33">
        <f>(1-I24)*H28</f>
        <v>1.5199999999999993E-2</v>
      </c>
      <c r="K28" s="115"/>
      <c r="L28" s="34" t="s">
        <v>17</v>
      </c>
      <c r="M28" s="18">
        <f>J28*F20/2000</f>
        <v>4.5599999999999978</v>
      </c>
      <c r="N28" s="113"/>
      <c r="O28" s="20"/>
    </row>
    <row r="29" spans="1:15" ht="10.5" customHeight="1" x14ac:dyDescent="0.2">
      <c r="A29" s="115"/>
      <c r="B29" s="112"/>
      <c r="C29" s="115"/>
      <c r="D29" s="112"/>
      <c r="E29" s="115"/>
      <c r="F29" s="142"/>
      <c r="G29" s="35" t="s">
        <v>37</v>
      </c>
      <c r="H29" s="33">
        <f>0.00641</f>
        <v>6.4099999999999999E-3</v>
      </c>
      <c r="I29" s="121"/>
      <c r="J29" s="33">
        <f>(1-I24)*H29</f>
        <v>5.1279999999999978E-4</v>
      </c>
      <c r="K29" s="115"/>
      <c r="L29" s="34" t="s">
        <v>17</v>
      </c>
      <c r="M29" s="18">
        <f>J29*F20/2000</f>
        <v>0.15383999999999995</v>
      </c>
      <c r="N29" s="112" t="s">
        <v>29</v>
      </c>
      <c r="O29" s="20"/>
    </row>
    <row r="30" spans="1:15" ht="10.5" customHeight="1" x14ac:dyDescent="0.2">
      <c r="A30" s="115"/>
      <c r="B30" s="112"/>
      <c r="C30" s="115"/>
      <c r="D30" s="112"/>
      <c r="E30" s="115"/>
      <c r="F30" s="142"/>
      <c r="G30" s="35" t="s">
        <v>38</v>
      </c>
      <c r="H30" s="33">
        <f>0.00847</f>
        <v>8.4700000000000001E-3</v>
      </c>
      <c r="I30" s="121"/>
      <c r="J30" s="33">
        <f>(1-I24)*H30</f>
        <v>6.7759999999999967E-4</v>
      </c>
      <c r="K30" s="115"/>
      <c r="L30" s="34" t="s">
        <v>17</v>
      </c>
      <c r="M30" s="18">
        <f>J30*F20/2000</f>
        <v>0.20327999999999988</v>
      </c>
      <c r="N30" s="112"/>
      <c r="O30" s="20"/>
    </row>
    <row r="31" spans="1:15" ht="10.5" customHeight="1" x14ac:dyDescent="0.2">
      <c r="A31" s="115"/>
      <c r="B31" s="112"/>
      <c r="C31" s="115"/>
      <c r="D31" s="112"/>
      <c r="E31" s="115"/>
      <c r="F31" s="142"/>
      <c r="G31" s="35" t="s">
        <v>39</v>
      </c>
      <c r="H31" s="33">
        <f>0.00206</f>
        <v>2.0600000000000002E-3</v>
      </c>
      <c r="I31" s="122"/>
      <c r="J31" s="33">
        <f>(1-I24)*H31</f>
        <v>1.6479999999999994E-4</v>
      </c>
      <c r="K31" s="115"/>
      <c r="L31" s="34" t="s">
        <v>17</v>
      </c>
      <c r="M31" s="18">
        <f>J31*F20/2000</f>
        <v>4.9439999999999984E-2</v>
      </c>
      <c r="N31" s="112"/>
      <c r="O31" s="20"/>
    </row>
    <row r="32" spans="1:15" ht="10.5" customHeight="1" x14ac:dyDescent="0.2">
      <c r="A32" s="116"/>
      <c r="B32" s="155"/>
      <c r="C32" s="155"/>
      <c r="D32" s="155"/>
      <c r="E32" s="155"/>
      <c r="F32" s="142"/>
      <c r="G32" s="35" t="s">
        <v>36</v>
      </c>
      <c r="H32" s="12">
        <f>0.163/13.1</f>
        <v>1.2442748091603055E-2</v>
      </c>
      <c r="I32" s="32">
        <v>0.7</v>
      </c>
      <c r="J32" s="33">
        <f>(1-I32)*H32</f>
        <v>3.732824427480917E-3</v>
      </c>
      <c r="K32" s="155"/>
      <c r="L32" s="34" t="s">
        <v>17</v>
      </c>
      <c r="M32" s="18">
        <f>J32*F20/2000</f>
        <v>1.1198473282442751</v>
      </c>
      <c r="N32" s="113"/>
      <c r="O32" s="20"/>
    </row>
    <row r="33" spans="1:15" ht="10.5" customHeight="1" x14ac:dyDescent="0.2">
      <c r="A33" s="11" t="s">
        <v>118</v>
      </c>
      <c r="O33" s="20"/>
    </row>
    <row r="34" spans="1:15" ht="10.5" customHeight="1" x14ac:dyDescent="0.2">
      <c r="A34" s="11" t="s">
        <v>132</v>
      </c>
      <c r="O34" s="20"/>
    </row>
    <row r="35" spans="1:15" ht="10.5" customHeight="1" x14ac:dyDescent="0.2">
      <c r="A35" s="11" t="s">
        <v>95</v>
      </c>
      <c r="O35" s="20"/>
    </row>
    <row r="36" spans="1:15" ht="10.5" customHeight="1" x14ac:dyDescent="0.2">
      <c r="A36" s="11" t="s">
        <v>55</v>
      </c>
      <c r="O36" s="20"/>
    </row>
    <row r="37" spans="1:15" ht="10.5" customHeight="1" x14ac:dyDescent="0.2">
      <c r="O37" s="20"/>
    </row>
    <row r="38" spans="1:15" ht="10.5" customHeight="1" x14ac:dyDescent="0.2">
      <c r="A38" s="8" t="s">
        <v>109</v>
      </c>
      <c r="B38" s="2"/>
      <c r="C38" s="2"/>
      <c r="N38" s="40"/>
      <c r="O38" s="20"/>
    </row>
    <row r="39" spans="1:15" ht="10.5" customHeight="1" x14ac:dyDescent="0.2">
      <c r="A39" s="39"/>
      <c r="B39" s="36" t="s">
        <v>25</v>
      </c>
      <c r="C39" s="42" t="s">
        <v>27</v>
      </c>
      <c r="D39" s="36"/>
      <c r="E39" s="39"/>
      <c r="F39" s="36"/>
      <c r="G39" s="39"/>
      <c r="H39" s="36"/>
      <c r="I39" s="39"/>
      <c r="J39" s="36" t="s">
        <v>11</v>
      </c>
      <c r="K39" s="39"/>
      <c r="L39" s="36" t="s">
        <v>5</v>
      </c>
      <c r="M39" s="39" t="s">
        <v>5</v>
      </c>
      <c r="N39" s="36"/>
      <c r="O39" s="20"/>
    </row>
    <row r="40" spans="1:15" ht="10.5" customHeight="1" x14ac:dyDescent="0.2">
      <c r="A40" s="41" t="s">
        <v>19</v>
      </c>
      <c r="B40" s="38" t="s">
        <v>11</v>
      </c>
      <c r="C40" s="41" t="s">
        <v>11</v>
      </c>
      <c r="D40" s="38" t="s">
        <v>2</v>
      </c>
      <c r="E40" s="41" t="s">
        <v>12</v>
      </c>
      <c r="F40" s="38" t="s">
        <v>80</v>
      </c>
      <c r="G40" s="41" t="s">
        <v>6</v>
      </c>
      <c r="H40" s="38" t="s">
        <v>10</v>
      </c>
      <c r="I40" s="41" t="s">
        <v>11</v>
      </c>
      <c r="J40" s="38" t="s">
        <v>10</v>
      </c>
      <c r="K40" s="41" t="s">
        <v>16</v>
      </c>
      <c r="L40" s="38" t="s">
        <v>3</v>
      </c>
      <c r="M40" s="41" t="s">
        <v>4</v>
      </c>
      <c r="N40" s="38" t="s">
        <v>13</v>
      </c>
      <c r="O40" s="20"/>
    </row>
    <row r="41" spans="1:15" ht="10.5" customHeight="1" x14ac:dyDescent="0.25">
      <c r="A41" s="114" t="s">
        <v>94</v>
      </c>
      <c r="B41" s="134" t="s">
        <v>116</v>
      </c>
      <c r="C41" s="127" t="s">
        <v>32</v>
      </c>
      <c r="D41" s="111" t="s">
        <v>0</v>
      </c>
      <c r="E41" s="127" t="s">
        <v>145</v>
      </c>
      <c r="F41" s="117">
        <f>O2</f>
        <v>600000</v>
      </c>
      <c r="G41" s="51" t="s">
        <v>43</v>
      </c>
      <c r="H41" s="65">
        <v>45000</v>
      </c>
      <c r="I41" s="63" t="s">
        <v>17</v>
      </c>
      <c r="J41" s="71">
        <f>J23</f>
        <v>8.5000000000000006E-3</v>
      </c>
      <c r="K41" s="51" t="s">
        <v>84</v>
      </c>
      <c r="L41" s="13">
        <f>H41*60*J41/7000</f>
        <v>3.2785714285714285</v>
      </c>
      <c r="M41" s="68">
        <f>L41*4.38</f>
        <v>14.360142857142856</v>
      </c>
      <c r="N41" s="54" t="s">
        <v>15</v>
      </c>
    </row>
    <row r="42" spans="1:15" ht="10.5" customHeight="1" x14ac:dyDescent="0.2">
      <c r="A42" s="115"/>
      <c r="B42" s="135"/>
      <c r="C42" s="139"/>
      <c r="D42" s="112"/>
      <c r="E42" s="139"/>
      <c r="F42" s="118"/>
      <c r="G42" s="51" t="s">
        <v>26</v>
      </c>
      <c r="H42" s="12">
        <f>10.68/33.9</f>
        <v>0.31504424778761064</v>
      </c>
      <c r="I42" s="120">
        <f>I24</f>
        <v>0.92</v>
      </c>
      <c r="J42" s="12">
        <f>(1-I42)*H42</f>
        <v>2.5203539823008839E-2</v>
      </c>
      <c r="K42" s="114" t="s">
        <v>134</v>
      </c>
      <c r="L42" s="34" t="s">
        <v>17</v>
      </c>
      <c r="M42" s="18">
        <f>J42*F41/2000</f>
        <v>7.5610619469026519</v>
      </c>
      <c r="N42" s="111" t="s">
        <v>15</v>
      </c>
      <c r="O42" s="20"/>
    </row>
    <row r="43" spans="1:15" ht="10.5" customHeight="1" x14ac:dyDescent="0.2">
      <c r="A43" s="115"/>
      <c r="B43" s="135"/>
      <c r="C43" s="139"/>
      <c r="D43" s="112"/>
      <c r="E43" s="139"/>
      <c r="F43" s="118"/>
      <c r="G43" s="35" t="s">
        <v>21</v>
      </c>
      <c r="H43" s="33">
        <f>0.02/33.9</f>
        <v>5.8997050147492625E-4</v>
      </c>
      <c r="I43" s="121"/>
      <c r="J43" s="33">
        <f>(1-I42)*H43</f>
        <v>4.7197640117994074E-5</v>
      </c>
      <c r="K43" s="115"/>
      <c r="L43" s="34" t="s">
        <v>17</v>
      </c>
      <c r="M43" s="18">
        <f>J43*F41/2000</f>
        <v>1.4159292035398221E-2</v>
      </c>
      <c r="N43" s="112"/>
      <c r="O43" s="20"/>
    </row>
    <row r="44" spans="1:15" ht="10.5" customHeight="1" x14ac:dyDescent="0.2">
      <c r="A44" s="115"/>
      <c r="B44" s="135"/>
      <c r="C44" s="139"/>
      <c r="D44" s="112"/>
      <c r="E44" s="139"/>
      <c r="F44" s="118"/>
      <c r="G44" s="35" t="s">
        <v>22</v>
      </c>
      <c r="H44" s="33">
        <f>0.003/33.9</f>
        <v>8.849557522123894E-5</v>
      </c>
      <c r="I44" s="121"/>
      <c r="J44" s="33">
        <f>(1-I42)*H44</f>
        <v>7.0796460176991117E-6</v>
      </c>
      <c r="K44" s="115"/>
      <c r="L44" s="34" t="s">
        <v>17</v>
      </c>
      <c r="M44" s="18">
        <f>J44*F41/2000</f>
        <v>2.1238938053097334E-3</v>
      </c>
      <c r="N44" s="112"/>
      <c r="O44" s="20"/>
    </row>
    <row r="45" spans="1:15" ht="10.5" customHeight="1" x14ac:dyDescent="0.2">
      <c r="A45" s="115"/>
      <c r="B45" s="135"/>
      <c r="C45" s="139"/>
      <c r="D45" s="112"/>
      <c r="E45" s="139"/>
      <c r="F45" s="118"/>
      <c r="G45" s="35" t="s">
        <v>23</v>
      </c>
      <c r="H45" s="33">
        <f>0.09/33.9</f>
        <v>2.6548672566371681E-3</v>
      </c>
      <c r="I45" s="121"/>
      <c r="J45" s="33">
        <f>(1-I42)*H45</f>
        <v>2.1238938053097335E-4</v>
      </c>
      <c r="K45" s="115"/>
      <c r="L45" s="34" t="s">
        <v>17</v>
      </c>
      <c r="M45" s="18">
        <f>J45*F41/2000</f>
        <v>6.3716814159292007E-2</v>
      </c>
      <c r="N45" s="113"/>
      <c r="O45" s="20"/>
    </row>
    <row r="46" spans="1:15" ht="10.5" customHeight="1" x14ac:dyDescent="0.2">
      <c r="A46" s="115"/>
      <c r="B46" s="135"/>
      <c r="C46" s="139"/>
      <c r="D46" s="112"/>
      <c r="E46" s="139"/>
      <c r="F46" s="118"/>
      <c r="G46" s="35" t="s">
        <v>37</v>
      </c>
      <c r="H46" s="33">
        <f>H45</f>
        <v>2.6548672566371681E-3</v>
      </c>
      <c r="I46" s="121"/>
      <c r="J46" s="33">
        <f>(1-I42)*H46</f>
        <v>2.1238938053097335E-4</v>
      </c>
      <c r="K46" s="115"/>
      <c r="L46" s="34" t="s">
        <v>17</v>
      </c>
      <c r="M46" s="18">
        <f>J46*F41/2000</f>
        <v>6.3716814159292007E-2</v>
      </c>
      <c r="N46" s="111" t="s">
        <v>20</v>
      </c>
      <c r="O46" s="20"/>
    </row>
    <row r="47" spans="1:15" ht="10.5" customHeight="1" x14ac:dyDescent="0.2">
      <c r="A47" s="115"/>
      <c r="B47" s="135"/>
      <c r="C47" s="139"/>
      <c r="D47" s="112"/>
      <c r="E47" s="139"/>
      <c r="F47" s="118"/>
      <c r="G47" s="35" t="s">
        <v>38</v>
      </c>
      <c r="H47" s="33">
        <f>H45</f>
        <v>2.6548672566371681E-3</v>
      </c>
      <c r="I47" s="121"/>
      <c r="J47" s="33">
        <f>(1-I42)*H47</f>
        <v>2.1238938053097335E-4</v>
      </c>
      <c r="K47" s="115"/>
      <c r="L47" s="34" t="s">
        <v>17</v>
      </c>
      <c r="M47" s="18">
        <f>J47*F41/2000</f>
        <v>6.3716814159292007E-2</v>
      </c>
      <c r="N47" s="112"/>
      <c r="O47" s="20"/>
    </row>
    <row r="48" spans="1:15" ht="10.5" customHeight="1" x14ac:dyDescent="0.2">
      <c r="A48" s="116"/>
      <c r="B48" s="136"/>
      <c r="C48" s="140"/>
      <c r="D48" s="113"/>
      <c r="E48" s="140"/>
      <c r="F48" s="118"/>
      <c r="G48" s="35" t="s">
        <v>39</v>
      </c>
      <c r="H48" s="33">
        <f>H45</f>
        <v>2.6548672566371681E-3</v>
      </c>
      <c r="I48" s="122"/>
      <c r="J48" s="33">
        <f>(1-I42)*H48</f>
        <v>2.1238938053097335E-4</v>
      </c>
      <c r="K48" s="116"/>
      <c r="L48" s="34" t="s">
        <v>17</v>
      </c>
      <c r="M48" s="18">
        <f>J48*F41/2000</f>
        <v>6.3716814159292007E-2</v>
      </c>
      <c r="N48" s="113"/>
      <c r="O48" s="20"/>
    </row>
    <row r="49" spans="1:15" ht="10.5" customHeight="1" x14ac:dyDescent="0.2">
      <c r="A49" s="11" t="s">
        <v>133</v>
      </c>
      <c r="B49" s="43"/>
      <c r="C49" s="43"/>
      <c r="D49" s="40"/>
      <c r="E49" s="43"/>
      <c r="F49" s="14"/>
      <c r="G49" s="9"/>
      <c r="H49" s="15"/>
      <c r="I49" s="15"/>
      <c r="J49" s="15"/>
      <c r="K49" s="40"/>
      <c r="L49" s="45"/>
      <c r="M49" s="49"/>
      <c r="N49" s="40"/>
      <c r="O49" s="20"/>
    </row>
    <row r="50" spans="1:15" ht="10.5" customHeight="1" x14ac:dyDescent="0.2">
      <c r="A50" s="11" t="s">
        <v>106</v>
      </c>
      <c r="B50" s="43"/>
      <c r="C50" s="43"/>
      <c r="D50" s="40"/>
      <c r="E50" s="43"/>
      <c r="F50" s="14"/>
      <c r="G50" s="9"/>
      <c r="H50" s="15"/>
      <c r="I50" s="15"/>
      <c r="J50" s="15"/>
      <c r="K50" s="40"/>
      <c r="L50" s="45"/>
      <c r="M50" s="49"/>
      <c r="N50" s="40"/>
      <c r="O50" s="20"/>
    </row>
    <row r="51" spans="1:15" ht="10.5" customHeight="1" x14ac:dyDescent="0.2">
      <c r="A51" s="11" t="s">
        <v>100</v>
      </c>
      <c r="B51" s="43"/>
      <c r="C51" s="43"/>
      <c r="D51" s="40"/>
      <c r="E51" s="43"/>
      <c r="F51" s="14"/>
      <c r="G51" s="9"/>
      <c r="H51" s="15"/>
      <c r="I51" s="15"/>
      <c r="J51" s="15"/>
      <c r="K51" s="40"/>
      <c r="L51" s="45"/>
      <c r="M51" s="49"/>
      <c r="N51" s="40"/>
      <c r="O51" s="20"/>
    </row>
    <row r="52" spans="1:15" ht="10.5" customHeight="1" x14ac:dyDescent="0.2">
      <c r="A52" s="11" t="s">
        <v>101</v>
      </c>
      <c r="O52" s="20"/>
    </row>
    <row r="53" spans="1:15" ht="10.5" customHeight="1" x14ac:dyDescent="0.2">
      <c r="O53" s="20"/>
    </row>
    <row r="54" spans="1:15" ht="10.5" customHeight="1" x14ac:dyDescent="0.2">
      <c r="A54" s="8" t="s">
        <v>89</v>
      </c>
      <c r="B54" s="2"/>
      <c r="C54" s="2"/>
      <c r="N54" s="40"/>
      <c r="O54" s="20"/>
    </row>
    <row r="55" spans="1:15" ht="10.5" customHeight="1" x14ac:dyDescent="0.2">
      <c r="A55" s="39"/>
      <c r="B55" s="36" t="s">
        <v>25</v>
      </c>
      <c r="C55" s="42" t="s">
        <v>27</v>
      </c>
      <c r="D55" s="36"/>
      <c r="E55" s="39"/>
      <c r="F55" s="36"/>
      <c r="G55" s="39"/>
      <c r="H55" s="36"/>
      <c r="I55" s="39"/>
      <c r="J55" s="36" t="s">
        <v>11</v>
      </c>
      <c r="K55" s="39"/>
      <c r="L55" s="36" t="s">
        <v>5</v>
      </c>
      <c r="M55" s="39" t="s">
        <v>5</v>
      </c>
      <c r="N55" s="36"/>
      <c r="O55" s="20"/>
    </row>
    <row r="56" spans="1:15" ht="10.5" customHeight="1" x14ac:dyDescent="0.2">
      <c r="A56" s="41" t="s">
        <v>19</v>
      </c>
      <c r="B56" s="38" t="s">
        <v>11</v>
      </c>
      <c r="C56" s="41" t="s">
        <v>11</v>
      </c>
      <c r="D56" s="38" t="s">
        <v>2</v>
      </c>
      <c r="E56" s="41" t="s">
        <v>12</v>
      </c>
      <c r="F56" s="38" t="s">
        <v>80</v>
      </c>
      <c r="G56" s="41" t="s">
        <v>6</v>
      </c>
      <c r="H56" s="38" t="s">
        <v>10</v>
      </c>
      <c r="I56" s="41" t="s">
        <v>11</v>
      </c>
      <c r="J56" s="38" t="s">
        <v>10</v>
      </c>
      <c r="K56" s="41" t="s">
        <v>16</v>
      </c>
      <c r="L56" s="38" t="s">
        <v>3</v>
      </c>
      <c r="M56" s="41" t="s">
        <v>4</v>
      </c>
      <c r="N56" s="38" t="s">
        <v>13</v>
      </c>
      <c r="O56" s="20"/>
    </row>
    <row r="57" spans="1:15" ht="10.5" customHeight="1" x14ac:dyDescent="0.25">
      <c r="A57" s="114" t="s">
        <v>122</v>
      </c>
      <c r="B57" s="134" t="s">
        <v>116</v>
      </c>
      <c r="C57" s="127" t="s">
        <v>32</v>
      </c>
      <c r="D57" s="111" t="s">
        <v>0</v>
      </c>
      <c r="E57" s="127" t="s">
        <v>146</v>
      </c>
      <c r="F57" s="117">
        <f>O2</f>
        <v>600000</v>
      </c>
      <c r="G57" s="51" t="s">
        <v>43</v>
      </c>
      <c r="H57" s="65">
        <f>(10+10)*1000</f>
        <v>20000</v>
      </c>
      <c r="I57" s="63" t="s">
        <v>17</v>
      </c>
      <c r="J57" s="71">
        <f>J23</f>
        <v>8.5000000000000006E-3</v>
      </c>
      <c r="K57" s="51" t="s">
        <v>84</v>
      </c>
      <c r="L57" s="13">
        <f>H57*60*J57/7000</f>
        <v>1.4571428571428571</v>
      </c>
      <c r="M57" s="18">
        <f>L57*4.38</f>
        <v>6.3822857142857137</v>
      </c>
      <c r="N57" s="54" t="s">
        <v>15</v>
      </c>
    </row>
    <row r="58" spans="1:15" ht="10.5" customHeight="1" x14ac:dyDescent="0.2">
      <c r="A58" s="115"/>
      <c r="B58" s="135"/>
      <c r="C58" s="139"/>
      <c r="D58" s="112"/>
      <c r="E58" s="139"/>
      <c r="F58" s="118"/>
      <c r="G58" s="51" t="s">
        <v>26</v>
      </c>
      <c r="H58" s="19">
        <f>2.5</f>
        <v>2.5</v>
      </c>
      <c r="I58" s="120">
        <f>I24</f>
        <v>0.92</v>
      </c>
      <c r="J58" s="13">
        <f>(1-I58)*H58</f>
        <v>0.1999999999999999</v>
      </c>
      <c r="K58" s="114" t="s">
        <v>134</v>
      </c>
      <c r="L58" s="34" t="s">
        <v>17</v>
      </c>
      <c r="M58" s="68">
        <f>J58*F57/2000</f>
        <v>59.999999999999972</v>
      </c>
      <c r="N58" s="111" t="s">
        <v>15</v>
      </c>
      <c r="O58" s="20"/>
    </row>
    <row r="59" spans="1:15" ht="10.5" customHeight="1" x14ac:dyDescent="0.2">
      <c r="A59" s="115"/>
      <c r="B59" s="135"/>
      <c r="C59" s="139"/>
      <c r="D59" s="112"/>
      <c r="E59" s="139"/>
      <c r="F59" s="118"/>
      <c r="G59" s="35" t="s">
        <v>21</v>
      </c>
      <c r="H59" s="12">
        <f>0.004</f>
        <v>4.0000000000000001E-3</v>
      </c>
      <c r="I59" s="121"/>
      <c r="J59" s="33">
        <f>(1-I58)*H59</f>
        <v>3.1999999999999986E-4</v>
      </c>
      <c r="K59" s="115"/>
      <c r="L59" s="34" t="s">
        <v>17</v>
      </c>
      <c r="M59" s="18">
        <f>J59*F57/2000</f>
        <v>9.599999999999996E-2</v>
      </c>
      <c r="N59" s="112"/>
      <c r="O59" s="20"/>
    </row>
    <row r="60" spans="1:15" ht="10.5" customHeight="1" x14ac:dyDescent="0.2">
      <c r="A60" s="115"/>
      <c r="B60" s="135"/>
      <c r="C60" s="139"/>
      <c r="D60" s="112"/>
      <c r="E60" s="139"/>
      <c r="F60" s="118"/>
      <c r="G60" s="35" t="s">
        <v>22</v>
      </c>
      <c r="H60" s="12">
        <f>0.008</f>
        <v>8.0000000000000002E-3</v>
      </c>
      <c r="I60" s="121"/>
      <c r="J60" s="33">
        <f>(1-I58)*H60</f>
        <v>6.3999999999999973E-4</v>
      </c>
      <c r="K60" s="115"/>
      <c r="L60" s="34" t="s">
        <v>17</v>
      </c>
      <c r="M60" s="18">
        <f>J60*F57/2000</f>
        <v>0.19199999999999992</v>
      </c>
      <c r="N60" s="112"/>
      <c r="O60" s="20"/>
    </row>
    <row r="61" spans="1:15" ht="10.5" customHeight="1" x14ac:dyDescent="0.2">
      <c r="A61" s="115"/>
      <c r="B61" s="135"/>
      <c r="C61" s="139"/>
      <c r="D61" s="112"/>
      <c r="E61" s="139"/>
      <c r="F61" s="118"/>
      <c r="G61" s="35" t="s">
        <v>23</v>
      </c>
      <c r="H61" s="12">
        <f>0.004</f>
        <v>4.0000000000000001E-3</v>
      </c>
      <c r="I61" s="121"/>
      <c r="J61" s="33">
        <f>(1-I58)*H61</f>
        <v>3.1999999999999986E-4</v>
      </c>
      <c r="K61" s="115"/>
      <c r="L61" s="34" t="s">
        <v>17</v>
      </c>
      <c r="M61" s="18">
        <f>J61*F57/2000</f>
        <v>9.599999999999996E-2</v>
      </c>
      <c r="N61" s="113"/>
      <c r="O61" s="20"/>
    </row>
    <row r="62" spans="1:15" ht="10.5" customHeight="1" x14ac:dyDescent="0.2">
      <c r="A62" s="115"/>
      <c r="B62" s="135"/>
      <c r="C62" s="139"/>
      <c r="D62" s="112"/>
      <c r="E62" s="139"/>
      <c r="F62" s="118"/>
      <c r="G62" s="35" t="s">
        <v>37</v>
      </c>
      <c r="H62" s="33">
        <f>0.0018</f>
        <v>1.8E-3</v>
      </c>
      <c r="I62" s="121"/>
      <c r="J62" s="33">
        <f>(1-I58)*H62</f>
        <v>1.4399999999999992E-4</v>
      </c>
      <c r="K62" s="115"/>
      <c r="L62" s="34" t="s">
        <v>17</v>
      </c>
      <c r="M62" s="18">
        <f>J62*F57/2000</f>
        <v>4.3199999999999975E-2</v>
      </c>
      <c r="N62" s="111" t="s">
        <v>20</v>
      </c>
      <c r="O62" s="20"/>
    </row>
    <row r="63" spans="1:15" ht="10.5" customHeight="1" x14ac:dyDescent="0.2">
      <c r="A63" s="115"/>
      <c r="B63" s="135"/>
      <c r="C63" s="139"/>
      <c r="D63" s="112"/>
      <c r="E63" s="139"/>
      <c r="F63" s="118"/>
      <c r="G63" s="35" t="s">
        <v>38</v>
      </c>
      <c r="H63" s="33">
        <f>0.0033</f>
        <v>3.3E-3</v>
      </c>
      <c r="I63" s="121"/>
      <c r="J63" s="33">
        <f>(1-I58)*H63</f>
        <v>2.6399999999999986E-4</v>
      </c>
      <c r="K63" s="115"/>
      <c r="L63" s="34" t="s">
        <v>17</v>
      </c>
      <c r="M63" s="18">
        <f>J63*F57/2000</f>
        <v>7.9199999999999965E-2</v>
      </c>
      <c r="N63" s="112"/>
      <c r="O63" s="20"/>
    </row>
    <row r="64" spans="1:15" ht="10.5" customHeight="1" x14ac:dyDescent="0.2">
      <c r="A64" s="116"/>
      <c r="B64" s="136"/>
      <c r="C64" s="140"/>
      <c r="D64" s="113"/>
      <c r="E64" s="140"/>
      <c r="F64" s="119"/>
      <c r="G64" s="35" t="s">
        <v>39</v>
      </c>
      <c r="H64" s="33">
        <f>0.00036</f>
        <v>3.6000000000000002E-4</v>
      </c>
      <c r="I64" s="122"/>
      <c r="J64" s="33">
        <f>(1-I58)*H64</f>
        <v>2.8799999999999989E-5</v>
      </c>
      <c r="K64" s="116"/>
      <c r="L64" s="34" t="s">
        <v>17</v>
      </c>
      <c r="M64" s="18">
        <f>J64*F57/2000</f>
        <v>8.6399999999999966E-3</v>
      </c>
      <c r="N64" s="113"/>
      <c r="O64" s="20"/>
    </row>
    <row r="65" spans="1:15" ht="10.5" customHeight="1" x14ac:dyDescent="0.2">
      <c r="A65" s="11" t="s">
        <v>133</v>
      </c>
      <c r="B65" s="43"/>
      <c r="C65" s="43"/>
      <c r="D65" s="40"/>
      <c r="E65" s="43"/>
      <c r="F65" s="14"/>
      <c r="G65" s="9"/>
      <c r="H65" s="15"/>
      <c r="I65" s="15"/>
      <c r="J65" s="15"/>
      <c r="K65" s="40"/>
      <c r="L65" s="45"/>
      <c r="M65" s="49"/>
      <c r="N65" s="40"/>
      <c r="O65" s="20"/>
    </row>
    <row r="66" spans="1:15" ht="10.5" customHeight="1" x14ac:dyDescent="0.2">
      <c r="A66" s="11" t="s">
        <v>96</v>
      </c>
      <c r="B66" s="43"/>
      <c r="C66" s="43"/>
      <c r="D66" s="40"/>
      <c r="E66" s="43"/>
      <c r="F66" s="14"/>
      <c r="G66" s="9"/>
      <c r="H66" s="15"/>
      <c r="I66" s="15"/>
      <c r="J66" s="15"/>
      <c r="K66" s="40"/>
      <c r="L66" s="45"/>
      <c r="M66" s="49"/>
      <c r="N66" s="40"/>
      <c r="O66" s="20"/>
    </row>
    <row r="67" spans="1:15" ht="10.5" customHeight="1" x14ac:dyDescent="0.2">
      <c r="A67" s="11" t="s">
        <v>56</v>
      </c>
      <c r="B67" s="43"/>
      <c r="C67" s="43"/>
      <c r="D67" s="40"/>
      <c r="E67" s="43"/>
      <c r="F67" s="14"/>
      <c r="G67" s="9"/>
      <c r="H67" s="15"/>
      <c r="I67" s="15"/>
      <c r="J67" s="15"/>
      <c r="K67" s="40"/>
      <c r="L67" s="45"/>
      <c r="M67" s="49"/>
      <c r="N67" s="40"/>
      <c r="O67" s="20"/>
    </row>
    <row r="68" spans="1:15" ht="10.5" customHeight="1" x14ac:dyDescent="0.2">
      <c r="B68" s="43"/>
      <c r="C68" s="43"/>
      <c r="D68" s="40"/>
      <c r="E68" s="43"/>
      <c r="F68" s="14"/>
      <c r="G68" s="9"/>
      <c r="H68" s="15"/>
      <c r="I68" s="15"/>
      <c r="J68" s="15"/>
      <c r="K68" s="40"/>
      <c r="L68" s="45"/>
      <c r="M68" s="49"/>
      <c r="N68" s="40"/>
      <c r="O68" s="20"/>
    </row>
    <row r="69" spans="1:15" ht="10.5" customHeight="1" x14ac:dyDescent="0.2">
      <c r="A69" s="8" t="s">
        <v>114</v>
      </c>
      <c r="B69" s="2"/>
      <c r="C69" s="2"/>
      <c r="N69" s="40"/>
      <c r="O69" s="20"/>
    </row>
    <row r="70" spans="1:15" ht="10.5" customHeight="1" x14ac:dyDescent="0.2">
      <c r="A70" s="39"/>
      <c r="B70" s="36" t="s">
        <v>25</v>
      </c>
      <c r="C70" s="42" t="s">
        <v>27</v>
      </c>
      <c r="D70" s="36"/>
      <c r="E70" s="39"/>
      <c r="F70" s="36"/>
      <c r="G70" s="39"/>
      <c r="H70" s="36"/>
      <c r="I70" s="39"/>
      <c r="J70" s="36" t="s">
        <v>11</v>
      </c>
      <c r="K70" s="39"/>
      <c r="L70" s="36" t="s">
        <v>5</v>
      </c>
      <c r="M70" s="39" t="s">
        <v>5</v>
      </c>
      <c r="N70" s="36"/>
      <c r="O70" s="20"/>
    </row>
    <row r="71" spans="1:15" ht="10.5" customHeight="1" x14ac:dyDescent="0.2">
      <c r="A71" s="41" t="s">
        <v>19</v>
      </c>
      <c r="B71" s="38" t="s">
        <v>11</v>
      </c>
      <c r="C71" s="41" t="s">
        <v>11</v>
      </c>
      <c r="D71" s="38" t="s">
        <v>2</v>
      </c>
      <c r="E71" s="41" t="s">
        <v>12</v>
      </c>
      <c r="F71" s="38" t="s">
        <v>80</v>
      </c>
      <c r="G71" s="41" t="s">
        <v>6</v>
      </c>
      <c r="H71" s="38" t="s">
        <v>10</v>
      </c>
      <c r="I71" s="41" t="s">
        <v>11</v>
      </c>
      <c r="J71" s="38" t="s">
        <v>10</v>
      </c>
      <c r="K71" s="41" t="s">
        <v>16</v>
      </c>
      <c r="L71" s="38" t="s">
        <v>3</v>
      </c>
      <c r="M71" s="41" t="s">
        <v>4</v>
      </c>
      <c r="N71" s="38" t="s">
        <v>13</v>
      </c>
      <c r="O71" s="20"/>
    </row>
    <row r="72" spans="1:15" ht="10.5" customHeight="1" x14ac:dyDescent="0.25">
      <c r="A72" s="114" t="s">
        <v>115</v>
      </c>
      <c r="B72" s="134" t="s">
        <v>117</v>
      </c>
      <c r="C72" s="127" t="s">
        <v>32</v>
      </c>
      <c r="D72" s="111" t="s">
        <v>0</v>
      </c>
      <c r="E72" s="127" t="s">
        <v>112</v>
      </c>
      <c r="F72" s="117">
        <f>O2</f>
        <v>600000</v>
      </c>
      <c r="G72" s="51" t="s">
        <v>43</v>
      </c>
      <c r="H72" s="65">
        <f>(60+60)*1000</f>
        <v>120000</v>
      </c>
      <c r="I72" s="63" t="s">
        <v>17</v>
      </c>
      <c r="J72" s="71">
        <f>J23</f>
        <v>8.5000000000000006E-3</v>
      </c>
      <c r="K72" s="51" t="s">
        <v>84</v>
      </c>
      <c r="L72" s="13">
        <f>H72*60*J72/7000</f>
        <v>8.7428571428571438</v>
      </c>
      <c r="M72" s="68">
        <f>L72*4.38</f>
        <v>38.293714285714287</v>
      </c>
      <c r="N72" s="54" t="s">
        <v>15</v>
      </c>
    </row>
    <row r="73" spans="1:15" ht="10.5" customHeight="1" x14ac:dyDescent="0.2">
      <c r="A73" s="115"/>
      <c r="B73" s="135"/>
      <c r="C73" s="139"/>
      <c r="D73" s="112"/>
      <c r="E73" s="139"/>
      <c r="F73" s="118"/>
      <c r="G73" s="51" t="s">
        <v>26</v>
      </c>
      <c r="H73" s="19">
        <f>0.5</f>
        <v>0.5</v>
      </c>
      <c r="I73" s="120">
        <f>I24</f>
        <v>0.92</v>
      </c>
      <c r="J73" s="13">
        <f>(1-I73)*H73</f>
        <v>3.999999999999998E-2</v>
      </c>
      <c r="K73" s="114" t="s">
        <v>134</v>
      </c>
      <c r="L73" s="34" t="s">
        <v>17</v>
      </c>
      <c r="M73" s="68">
        <f>J73*F72/2000</f>
        <v>11.999999999999995</v>
      </c>
      <c r="N73" s="111" t="s">
        <v>15</v>
      </c>
      <c r="O73" s="20"/>
    </row>
    <row r="74" spans="1:15" ht="10.5" customHeight="1" x14ac:dyDescent="0.2">
      <c r="A74" s="115"/>
      <c r="B74" s="135"/>
      <c r="C74" s="139"/>
      <c r="D74" s="112"/>
      <c r="E74" s="139"/>
      <c r="F74" s="118"/>
      <c r="G74" s="35" t="s">
        <v>21</v>
      </c>
      <c r="H74" s="12">
        <v>1E-3</v>
      </c>
      <c r="I74" s="121"/>
      <c r="J74" s="33">
        <f>(1-I73)*H74</f>
        <v>7.9999999999999966E-5</v>
      </c>
      <c r="K74" s="115"/>
      <c r="L74" s="34" t="s">
        <v>17</v>
      </c>
      <c r="M74" s="18">
        <f>J74*F72/2000</f>
        <v>2.399999999999999E-2</v>
      </c>
      <c r="N74" s="112"/>
      <c r="O74" s="20"/>
    </row>
    <row r="75" spans="1:15" ht="10.5" customHeight="1" x14ac:dyDescent="0.2">
      <c r="A75" s="115"/>
      <c r="B75" s="135"/>
      <c r="C75" s="139"/>
      <c r="D75" s="112"/>
      <c r="E75" s="139"/>
      <c r="F75" s="118"/>
      <c r="G75" s="35" t="s">
        <v>22</v>
      </c>
      <c r="H75" s="12">
        <v>2E-3</v>
      </c>
      <c r="I75" s="121"/>
      <c r="J75" s="33">
        <f>(1-I73)*H75</f>
        <v>1.5999999999999993E-4</v>
      </c>
      <c r="K75" s="115"/>
      <c r="L75" s="34" t="s">
        <v>17</v>
      </c>
      <c r="M75" s="18">
        <f>J75*F72/2000</f>
        <v>4.799999999999998E-2</v>
      </c>
      <c r="N75" s="112"/>
      <c r="O75" s="20"/>
    </row>
    <row r="76" spans="1:15" ht="10.5" customHeight="1" x14ac:dyDescent="0.2">
      <c r="A76" s="115"/>
      <c r="B76" s="135"/>
      <c r="C76" s="139"/>
      <c r="D76" s="112"/>
      <c r="E76" s="139"/>
      <c r="F76" s="118"/>
      <c r="G76" s="35" t="s">
        <v>23</v>
      </c>
      <c r="H76" s="12">
        <v>1E-3</v>
      </c>
      <c r="I76" s="121"/>
      <c r="J76" s="33">
        <f>(1-I73)*H76</f>
        <v>7.9999999999999966E-5</v>
      </c>
      <c r="K76" s="115"/>
      <c r="L76" s="34" t="s">
        <v>17</v>
      </c>
      <c r="M76" s="18">
        <f>J76*F72/2000</f>
        <v>2.399999999999999E-2</v>
      </c>
      <c r="N76" s="113"/>
      <c r="O76" s="20"/>
    </row>
    <row r="77" spans="1:15" ht="10.5" customHeight="1" x14ac:dyDescent="0.2">
      <c r="A77" s="115"/>
      <c r="B77" s="135"/>
      <c r="C77" s="139"/>
      <c r="D77" s="112"/>
      <c r="E77" s="139"/>
      <c r="F77" s="118"/>
      <c r="G77" s="35" t="s">
        <v>37</v>
      </c>
      <c r="H77" s="33">
        <f>0.00777</f>
        <v>7.77E-3</v>
      </c>
      <c r="I77" s="121"/>
      <c r="J77" s="33">
        <f>(1-I73)*H77</f>
        <v>6.2159999999999971E-4</v>
      </c>
      <c r="K77" s="115"/>
      <c r="L77" s="34" t="s">
        <v>17</v>
      </c>
      <c r="M77" s="18">
        <f>J77*F72/2000</f>
        <v>0.1864799999999999</v>
      </c>
      <c r="N77" s="111" t="s">
        <v>20</v>
      </c>
      <c r="O77" s="20"/>
    </row>
    <row r="78" spans="1:15" ht="10.5" customHeight="1" x14ac:dyDescent="0.2">
      <c r="A78" s="115"/>
      <c r="B78" s="135"/>
      <c r="C78" s="139"/>
      <c r="D78" s="112"/>
      <c r="E78" s="139"/>
      <c r="F78" s="118"/>
      <c r="G78" s="35" t="s">
        <v>38</v>
      </c>
      <c r="H78" s="33">
        <f>0.00297</f>
        <v>2.97E-3</v>
      </c>
      <c r="I78" s="121"/>
      <c r="J78" s="33">
        <f>(1-I73)*H78</f>
        <v>2.3759999999999989E-4</v>
      </c>
      <c r="K78" s="115"/>
      <c r="L78" s="34" t="s">
        <v>17</v>
      </c>
      <c r="M78" s="18">
        <f>J78*F72/2000</f>
        <v>7.1279999999999968E-2</v>
      </c>
      <c r="N78" s="112"/>
      <c r="O78" s="20"/>
    </row>
    <row r="79" spans="1:15" ht="10.5" customHeight="1" x14ac:dyDescent="0.2">
      <c r="A79" s="116"/>
      <c r="B79" s="136"/>
      <c r="C79" s="140"/>
      <c r="D79" s="113"/>
      <c r="E79" s="140"/>
      <c r="F79" s="119"/>
      <c r="G79" s="35" t="s">
        <v>39</v>
      </c>
      <c r="H79" s="33">
        <f>0.00062</f>
        <v>6.2E-4</v>
      </c>
      <c r="I79" s="122"/>
      <c r="J79" s="33">
        <f>(1-I73)*H79</f>
        <v>4.9599999999999972E-5</v>
      </c>
      <c r="K79" s="116"/>
      <c r="L79" s="34" t="s">
        <v>17</v>
      </c>
      <c r="M79" s="18">
        <f>J79*F72/2000</f>
        <v>1.4879999999999992E-2</v>
      </c>
      <c r="N79" s="113"/>
      <c r="O79" s="20"/>
    </row>
    <row r="80" spans="1:15" ht="10.5" customHeight="1" x14ac:dyDescent="0.2">
      <c r="A80" s="11" t="s">
        <v>133</v>
      </c>
      <c r="B80" s="43"/>
      <c r="C80" s="43"/>
      <c r="D80" s="40"/>
      <c r="E80" s="43"/>
      <c r="F80" s="14"/>
      <c r="G80" s="9"/>
      <c r="H80" s="15"/>
      <c r="I80" s="15"/>
      <c r="J80" s="15"/>
      <c r="K80" s="40"/>
      <c r="L80" s="45"/>
      <c r="M80" s="49"/>
      <c r="N80" s="40"/>
      <c r="O80" s="20"/>
    </row>
    <row r="81" spans="1:15" ht="10.5" customHeight="1" x14ac:dyDescent="0.2">
      <c r="A81" s="11" t="s">
        <v>96</v>
      </c>
      <c r="B81" s="43"/>
      <c r="C81" s="43"/>
      <c r="D81" s="40"/>
      <c r="E81" s="43"/>
      <c r="F81" s="14"/>
      <c r="G81" s="9"/>
      <c r="H81" s="15"/>
      <c r="I81" s="15"/>
      <c r="J81" s="15"/>
      <c r="K81" s="40"/>
      <c r="L81" s="45"/>
      <c r="M81" s="49"/>
      <c r="N81" s="40"/>
      <c r="O81" s="20"/>
    </row>
    <row r="82" spans="1:15" ht="10.5" customHeight="1" x14ac:dyDescent="0.2">
      <c r="A82" s="11" t="s">
        <v>56</v>
      </c>
      <c r="B82" s="43"/>
      <c r="C82" s="43"/>
      <c r="D82" s="40"/>
      <c r="E82" s="43"/>
      <c r="F82" s="14"/>
      <c r="G82" s="9"/>
      <c r="H82" s="15"/>
      <c r="I82" s="15"/>
      <c r="J82" s="15"/>
      <c r="K82" s="40"/>
      <c r="L82" s="45"/>
      <c r="M82" s="49"/>
      <c r="O82" s="20"/>
    </row>
    <row r="83" spans="1:15" ht="10.5" customHeight="1" x14ac:dyDescent="0.2">
      <c r="B83" s="43"/>
      <c r="C83" s="43"/>
      <c r="D83" s="40"/>
      <c r="E83" s="43"/>
      <c r="F83" s="14"/>
      <c r="G83" s="9"/>
      <c r="H83" s="15"/>
      <c r="I83" s="15"/>
      <c r="J83" s="15"/>
      <c r="K83" s="40"/>
      <c r="L83" s="45"/>
      <c r="M83" s="49"/>
      <c r="O83" s="20"/>
    </row>
    <row r="84" spans="1:15" ht="10.5" customHeight="1" x14ac:dyDescent="0.2">
      <c r="A84" s="2" t="s">
        <v>107</v>
      </c>
      <c r="B84" s="2"/>
      <c r="C84" s="2"/>
      <c r="N84" s="41"/>
      <c r="O84" s="20"/>
    </row>
    <row r="85" spans="1:15" ht="10.5" customHeight="1" x14ac:dyDescent="0.25">
      <c r="A85" s="39"/>
      <c r="B85" s="36" t="s">
        <v>25</v>
      </c>
      <c r="C85" s="42" t="s">
        <v>27</v>
      </c>
      <c r="D85" s="36"/>
      <c r="E85" s="39"/>
      <c r="F85" s="36"/>
      <c r="G85" s="39"/>
      <c r="H85" s="36"/>
      <c r="I85" s="55"/>
      <c r="J85" s="36" t="s">
        <v>11</v>
      </c>
      <c r="K85" s="39"/>
      <c r="L85" s="36" t="s">
        <v>5</v>
      </c>
      <c r="M85" s="39" t="s">
        <v>5</v>
      </c>
      <c r="N85" s="37"/>
    </row>
    <row r="86" spans="1:15" ht="10.5" customHeight="1" x14ac:dyDescent="0.25">
      <c r="A86" s="41" t="s">
        <v>19</v>
      </c>
      <c r="B86" s="38" t="s">
        <v>11</v>
      </c>
      <c r="C86" s="41" t="s">
        <v>11</v>
      </c>
      <c r="D86" s="38" t="s">
        <v>2</v>
      </c>
      <c r="E86" s="41" t="s">
        <v>12</v>
      </c>
      <c r="F86" s="38" t="s">
        <v>80</v>
      </c>
      <c r="G86" s="41" t="s">
        <v>6</v>
      </c>
      <c r="H86" s="38" t="s">
        <v>10</v>
      </c>
      <c r="I86" s="57" t="s">
        <v>11</v>
      </c>
      <c r="J86" s="38" t="s">
        <v>10</v>
      </c>
      <c r="K86" s="41" t="s">
        <v>16</v>
      </c>
      <c r="L86" s="38" t="s">
        <v>3</v>
      </c>
      <c r="M86" s="41" t="s">
        <v>4</v>
      </c>
      <c r="N86" s="38" t="s">
        <v>13</v>
      </c>
    </row>
    <row r="87" spans="1:15" ht="10.5" customHeight="1" x14ac:dyDescent="0.25">
      <c r="A87" s="114" t="s">
        <v>123</v>
      </c>
      <c r="B87" s="134" t="s">
        <v>17</v>
      </c>
      <c r="C87" s="128" t="s">
        <v>17</v>
      </c>
      <c r="D87" s="123" t="s">
        <v>17</v>
      </c>
      <c r="E87" s="114" t="s">
        <v>111</v>
      </c>
      <c r="F87" s="117">
        <f>O2</f>
        <v>600000</v>
      </c>
      <c r="G87" s="51" t="s">
        <v>43</v>
      </c>
      <c r="H87" s="65">
        <v>5000</v>
      </c>
      <c r="I87" s="73" t="s">
        <v>17</v>
      </c>
      <c r="J87" s="71">
        <f>J72</f>
        <v>8.5000000000000006E-3</v>
      </c>
      <c r="K87" s="51" t="s">
        <v>84</v>
      </c>
      <c r="L87" s="13">
        <f>H87*60*J87/7000</f>
        <v>0.36428571428571427</v>
      </c>
      <c r="M87" s="18">
        <f>L87*4.38</f>
        <v>1.5955714285714284</v>
      </c>
      <c r="N87" s="52" t="s">
        <v>14</v>
      </c>
    </row>
    <row r="88" spans="1:15" ht="10.5" customHeight="1" x14ac:dyDescent="0.25">
      <c r="A88" s="115"/>
      <c r="B88" s="135"/>
      <c r="C88" s="129"/>
      <c r="D88" s="137"/>
      <c r="E88" s="115"/>
      <c r="F88" s="118"/>
      <c r="G88" s="51" t="s">
        <v>26</v>
      </c>
      <c r="H88" s="12">
        <f>0.12/41.21</f>
        <v>2.9119145838388738E-3</v>
      </c>
      <c r="I88" s="125" t="s">
        <v>17</v>
      </c>
      <c r="J88" s="123" t="s">
        <v>17</v>
      </c>
      <c r="K88" s="114" t="s">
        <v>134</v>
      </c>
      <c r="L88" s="34" t="s">
        <v>17</v>
      </c>
      <c r="M88" s="18">
        <f>H88*F87/2000</f>
        <v>0.87357437515166214</v>
      </c>
      <c r="N88" s="111" t="s">
        <v>15</v>
      </c>
    </row>
    <row r="89" spans="1:15" ht="10.5" customHeight="1" x14ac:dyDescent="0.25">
      <c r="A89" s="115"/>
      <c r="B89" s="135"/>
      <c r="C89" s="129"/>
      <c r="D89" s="137"/>
      <c r="E89" s="115"/>
      <c r="F89" s="118"/>
      <c r="G89" s="35" t="s">
        <v>21</v>
      </c>
      <c r="H89" s="33">
        <f>0.002/41.2</f>
        <v>4.8543689320388346E-5</v>
      </c>
      <c r="I89" s="126"/>
      <c r="J89" s="124"/>
      <c r="K89" s="115"/>
      <c r="L89" s="34" t="s">
        <v>17</v>
      </c>
      <c r="M89" s="18">
        <f>H89*F87/2000</f>
        <v>1.4563106796116504E-2</v>
      </c>
      <c r="N89" s="112"/>
    </row>
    <row r="90" spans="1:15" ht="10.5" customHeight="1" x14ac:dyDescent="0.25">
      <c r="A90" s="115"/>
      <c r="B90" s="135"/>
      <c r="C90" s="129"/>
      <c r="D90" s="137"/>
      <c r="E90" s="115"/>
      <c r="F90" s="118"/>
      <c r="G90" s="35" t="s">
        <v>22</v>
      </c>
      <c r="H90" s="33">
        <f>0.002/41.2</f>
        <v>4.8543689320388346E-5</v>
      </c>
      <c r="I90" s="126"/>
      <c r="J90" s="124"/>
      <c r="K90" s="115"/>
      <c r="L90" s="34" t="s">
        <v>17</v>
      </c>
      <c r="M90" s="18">
        <f>H90*F87/2000</f>
        <v>1.4563106796116504E-2</v>
      </c>
      <c r="N90" s="112"/>
    </row>
    <row r="91" spans="1:15" ht="10.5" customHeight="1" x14ac:dyDescent="0.25">
      <c r="A91" s="116"/>
      <c r="B91" s="136"/>
      <c r="C91" s="130"/>
      <c r="D91" s="138"/>
      <c r="E91" s="116"/>
      <c r="F91" s="119"/>
      <c r="G91" s="35" t="s">
        <v>23</v>
      </c>
      <c r="H91" s="33">
        <f>0.01/41.2</f>
        <v>2.4271844660194174E-4</v>
      </c>
      <c r="I91" s="116"/>
      <c r="J91" s="113"/>
      <c r="K91" s="116"/>
      <c r="L91" s="34" t="s">
        <v>17</v>
      </c>
      <c r="M91" s="18">
        <f>H91*F87/2000</f>
        <v>7.281553398058252E-2</v>
      </c>
      <c r="N91" s="113"/>
    </row>
    <row r="92" spans="1:15" ht="10.5" customHeight="1" x14ac:dyDescent="0.25">
      <c r="A92" s="11" t="s">
        <v>133</v>
      </c>
      <c r="B92" s="50"/>
      <c r="C92" s="50"/>
      <c r="D92" s="44"/>
      <c r="E92" s="39"/>
      <c r="F92" s="28"/>
      <c r="G92" s="25"/>
      <c r="H92" s="29"/>
      <c r="I92" s="29"/>
      <c r="J92" s="29"/>
      <c r="K92" s="39"/>
      <c r="L92" s="30"/>
      <c r="M92" s="10"/>
      <c r="N92" s="39"/>
    </row>
    <row r="93" spans="1:15" ht="10.5" customHeight="1" x14ac:dyDescent="0.25">
      <c r="A93" s="11" t="s">
        <v>82</v>
      </c>
      <c r="F93" s="3"/>
      <c r="G93" s="5"/>
      <c r="H93" s="6"/>
      <c r="I93" s="6"/>
      <c r="J93" s="6"/>
      <c r="L93" s="7"/>
      <c r="M93" s="4"/>
    </row>
    <row r="94" spans="1:15" ht="10.5" customHeight="1" x14ac:dyDescent="0.25">
      <c r="A94" s="11" t="s">
        <v>54</v>
      </c>
      <c r="F94" s="3"/>
      <c r="G94" s="5"/>
      <c r="H94" s="6"/>
      <c r="I94" s="6"/>
      <c r="J94" s="6"/>
      <c r="L94" s="7"/>
      <c r="M94" s="4"/>
    </row>
    <row r="95" spans="1:15" ht="10.5" customHeight="1" x14ac:dyDescent="0.25">
      <c r="F95" s="3"/>
      <c r="G95" s="5"/>
      <c r="H95" s="6"/>
      <c r="I95" s="6"/>
      <c r="J95" s="6"/>
      <c r="L95" s="7"/>
      <c r="M95" s="4"/>
    </row>
    <row r="96" spans="1:15" ht="10.5" customHeight="1" x14ac:dyDescent="0.25">
      <c r="A96" s="2" t="s">
        <v>119</v>
      </c>
      <c r="B96" s="2"/>
      <c r="C96" s="2"/>
      <c r="N96" s="40"/>
    </row>
    <row r="97" spans="1:14" ht="10.5" customHeight="1" x14ac:dyDescent="0.25">
      <c r="A97" s="39"/>
      <c r="B97" s="36" t="s">
        <v>25</v>
      </c>
      <c r="C97" s="42" t="s">
        <v>27</v>
      </c>
      <c r="D97" s="36"/>
      <c r="E97" s="39"/>
      <c r="F97" s="36"/>
      <c r="G97" s="39"/>
      <c r="H97" s="36"/>
      <c r="I97" s="39"/>
      <c r="J97" s="36" t="s">
        <v>11</v>
      </c>
      <c r="K97" s="39"/>
      <c r="L97" s="36" t="s">
        <v>5</v>
      </c>
      <c r="M97" s="39" t="s">
        <v>5</v>
      </c>
      <c r="N97" s="36"/>
    </row>
    <row r="98" spans="1:14" ht="10.5" customHeight="1" x14ac:dyDescent="0.25">
      <c r="A98" s="41" t="s">
        <v>19</v>
      </c>
      <c r="B98" s="38" t="s">
        <v>11</v>
      </c>
      <c r="C98" s="41" t="s">
        <v>11</v>
      </c>
      <c r="D98" s="38" t="s">
        <v>2</v>
      </c>
      <c r="E98" s="41" t="s">
        <v>12</v>
      </c>
      <c r="F98" s="38" t="s">
        <v>80</v>
      </c>
      <c r="G98" s="41" t="s">
        <v>6</v>
      </c>
      <c r="H98" s="38" t="s">
        <v>10</v>
      </c>
      <c r="I98" s="41" t="s">
        <v>11</v>
      </c>
      <c r="J98" s="38" t="s">
        <v>10</v>
      </c>
      <c r="K98" s="41" t="s">
        <v>16</v>
      </c>
      <c r="L98" s="38" t="s">
        <v>3</v>
      </c>
      <c r="M98" s="41" t="s">
        <v>4</v>
      </c>
      <c r="N98" s="38" t="s">
        <v>13</v>
      </c>
    </row>
    <row r="99" spans="1:14" ht="10.5" customHeight="1" x14ac:dyDescent="0.25">
      <c r="A99" s="114" t="s">
        <v>120</v>
      </c>
      <c r="B99" s="123" t="s">
        <v>17</v>
      </c>
      <c r="C99" s="125" t="s">
        <v>17</v>
      </c>
      <c r="D99" s="111" t="s">
        <v>1</v>
      </c>
      <c r="E99" s="127" t="s">
        <v>130</v>
      </c>
      <c r="F99" s="131">
        <v>25</v>
      </c>
      <c r="G99" s="51" t="s">
        <v>7</v>
      </c>
      <c r="H99" s="19">
        <f>100/1000</f>
        <v>0.1</v>
      </c>
      <c r="I99" s="108" t="s">
        <v>17</v>
      </c>
      <c r="J99" s="105" t="s">
        <v>17</v>
      </c>
      <c r="K99" s="114" t="s">
        <v>33</v>
      </c>
      <c r="L99" s="34" t="s">
        <v>17</v>
      </c>
      <c r="M99" s="68">
        <f>F99*H99*8760/2000</f>
        <v>10.95</v>
      </c>
      <c r="N99" s="111" t="s">
        <v>14</v>
      </c>
    </row>
    <row r="100" spans="1:14" ht="10.5" customHeight="1" x14ac:dyDescent="0.25">
      <c r="A100" s="115"/>
      <c r="B100" s="112"/>
      <c r="C100" s="115"/>
      <c r="D100" s="112"/>
      <c r="E100" s="115"/>
      <c r="F100" s="132"/>
      <c r="G100" s="51" t="s">
        <v>8</v>
      </c>
      <c r="H100" s="12">
        <f>84/1000</f>
        <v>8.4000000000000005E-2</v>
      </c>
      <c r="I100" s="109"/>
      <c r="J100" s="106"/>
      <c r="K100" s="115"/>
      <c r="L100" s="34" t="s">
        <v>17</v>
      </c>
      <c r="M100" s="18">
        <f>F99*H100*8760/2000</f>
        <v>9.1980000000000004</v>
      </c>
      <c r="N100" s="112"/>
    </row>
    <row r="101" spans="1:14" ht="10.5" customHeight="1" x14ac:dyDescent="0.25">
      <c r="A101" s="115"/>
      <c r="B101" s="112"/>
      <c r="C101" s="115"/>
      <c r="D101" s="112"/>
      <c r="E101" s="115"/>
      <c r="F101" s="132"/>
      <c r="G101" s="51" t="s">
        <v>9</v>
      </c>
      <c r="H101" s="71">
        <f>0.6/1000</f>
        <v>5.9999999999999995E-4</v>
      </c>
      <c r="I101" s="109"/>
      <c r="J101" s="106"/>
      <c r="K101" s="115"/>
      <c r="L101" s="34" t="s">
        <v>17</v>
      </c>
      <c r="M101" s="18">
        <f>F99*H101*8760/2000</f>
        <v>6.5700000000000008E-2</v>
      </c>
      <c r="N101" s="112"/>
    </row>
    <row r="102" spans="1:14" ht="10.5" customHeight="1" x14ac:dyDescent="0.25">
      <c r="A102" s="115"/>
      <c r="B102" s="112"/>
      <c r="C102" s="115"/>
      <c r="D102" s="112"/>
      <c r="E102" s="115"/>
      <c r="F102" s="132"/>
      <c r="G102" s="51" t="s">
        <v>43</v>
      </c>
      <c r="H102" s="72">
        <f>7.6/1000</f>
        <v>7.6E-3</v>
      </c>
      <c r="I102" s="109"/>
      <c r="J102" s="106"/>
      <c r="K102" s="115"/>
      <c r="L102" s="13">
        <f>M102/4.38</f>
        <v>0.19000000000000003</v>
      </c>
      <c r="M102" s="18">
        <f>F99*H102*8760/2000</f>
        <v>0.83220000000000005</v>
      </c>
      <c r="N102" s="112"/>
    </row>
    <row r="103" spans="1:14" ht="10.5" customHeight="1" x14ac:dyDescent="0.25">
      <c r="A103" s="116"/>
      <c r="B103" s="113"/>
      <c r="C103" s="116"/>
      <c r="D103" s="113"/>
      <c r="E103" s="116"/>
      <c r="F103" s="133"/>
      <c r="G103" s="51" t="s">
        <v>26</v>
      </c>
      <c r="H103" s="71">
        <f>5.5/1000</f>
        <v>5.4999999999999997E-3</v>
      </c>
      <c r="I103" s="110"/>
      <c r="J103" s="107"/>
      <c r="K103" s="116"/>
      <c r="L103" s="34" t="s">
        <v>17</v>
      </c>
      <c r="M103" s="18">
        <f>F99*H103*8760/2000</f>
        <v>0.60224999999999984</v>
      </c>
      <c r="N103" s="113"/>
    </row>
    <row r="104" spans="1:14" ht="10.5" customHeight="1" x14ac:dyDescent="0.25">
      <c r="A104" s="11" t="s">
        <v>129</v>
      </c>
    </row>
    <row r="106" spans="1:14" ht="10.5" customHeight="1" x14ac:dyDescent="0.25">
      <c r="A106" s="8" t="s">
        <v>135</v>
      </c>
      <c r="B106" s="2"/>
      <c r="C106" s="2"/>
      <c r="N106" s="56"/>
    </row>
    <row r="107" spans="1:14" ht="10.5" customHeight="1" x14ac:dyDescent="0.25">
      <c r="A107" s="55"/>
      <c r="B107" s="53" t="s">
        <v>25</v>
      </c>
      <c r="C107" s="58" t="s">
        <v>27</v>
      </c>
      <c r="D107" s="53"/>
      <c r="E107" s="127"/>
      <c r="F107" s="127"/>
      <c r="G107" s="127"/>
      <c r="H107" s="53"/>
      <c r="I107" s="55"/>
      <c r="J107" s="53" t="s">
        <v>11</v>
      </c>
      <c r="K107" s="55"/>
      <c r="L107" s="53" t="s">
        <v>5</v>
      </c>
      <c r="M107" s="55" t="s">
        <v>5</v>
      </c>
      <c r="N107" s="53"/>
    </row>
    <row r="108" spans="1:14" ht="10.5" customHeight="1" x14ac:dyDescent="0.25">
      <c r="A108" s="57" t="s">
        <v>19</v>
      </c>
      <c r="B108" s="54" t="s">
        <v>11</v>
      </c>
      <c r="C108" s="57" t="s">
        <v>11</v>
      </c>
      <c r="D108" s="54" t="s">
        <v>2</v>
      </c>
      <c r="E108" s="140" t="s">
        <v>12</v>
      </c>
      <c r="F108" s="166"/>
      <c r="G108" s="166"/>
      <c r="H108" s="54" t="s">
        <v>10</v>
      </c>
      <c r="I108" s="57" t="s">
        <v>11</v>
      </c>
      <c r="J108" s="54" t="s">
        <v>10</v>
      </c>
      <c r="K108" s="57" t="s">
        <v>16</v>
      </c>
      <c r="L108" s="54" t="s">
        <v>3</v>
      </c>
      <c r="M108" s="57" t="s">
        <v>4</v>
      </c>
      <c r="N108" s="54" t="s">
        <v>13</v>
      </c>
    </row>
    <row r="109" spans="1:14" ht="10.5" customHeight="1" x14ac:dyDescent="0.25">
      <c r="A109" s="114" t="s">
        <v>137</v>
      </c>
      <c r="B109" s="66" t="s">
        <v>140</v>
      </c>
      <c r="C109" s="128" t="s">
        <v>17</v>
      </c>
      <c r="D109" s="93" t="s">
        <v>121</v>
      </c>
      <c r="E109" s="127" t="s">
        <v>152</v>
      </c>
      <c r="F109" s="127"/>
      <c r="G109" s="167"/>
      <c r="H109" s="67">
        <v>40000</v>
      </c>
      <c r="I109" s="163" t="s">
        <v>17</v>
      </c>
      <c r="J109" s="170">
        <f>J87</f>
        <v>8.5000000000000006E-3</v>
      </c>
      <c r="K109" s="114" t="s">
        <v>84</v>
      </c>
      <c r="L109" s="13">
        <f>H109*60*J109/7000</f>
        <v>2.9142857142857141</v>
      </c>
      <c r="M109" s="68">
        <f>L109*4.38</f>
        <v>12.764571428571427</v>
      </c>
      <c r="N109" s="111" t="s">
        <v>14</v>
      </c>
    </row>
    <row r="110" spans="1:14" ht="10.5" customHeight="1" x14ac:dyDescent="0.25">
      <c r="A110" s="115"/>
      <c r="B110" s="52" t="s">
        <v>143</v>
      </c>
      <c r="C110" s="129"/>
      <c r="D110" s="93" t="s">
        <v>163</v>
      </c>
      <c r="E110" s="168" t="s">
        <v>153</v>
      </c>
      <c r="F110" s="168"/>
      <c r="G110" s="169"/>
      <c r="H110" s="67">
        <v>40000</v>
      </c>
      <c r="I110" s="164"/>
      <c r="J110" s="171"/>
      <c r="K110" s="162"/>
      <c r="L110" s="13">
        <f>H110*60*J109/7000</f>
        <v>2.9142857142857141</v>
      </c>
      <c r="M110" s="68">
        <f>L110*4.38</f>
        <v>12.764571428571427</v>
      </c>
      <c r="N110" s="162"/>
    </row>
    <row r="111" spans="1:14" ht="10.5" customHeight="1" x14ac:dyDescent="0.25">
      <c r="A111" s="116"/>
      <c r="B111" s="61" t="s">
        <v>138</v>
      </c>
      <c r="C111" s="130"/>
      <c r="D111" s="86" t="s">
        <v>164</v>
      </c>
      <c r="E111" s="140" t="s">
        <v>139</v>
      </c>
      <c r="F111" s="140"/>
      <c r="G111" s="166"/>
      <c r="H111" s="67">
        <v>15000</v>
      </c>
      <c r="I111" s="165"/>
      <c r="J111" s="172"/>
      <c r="K111" s="155"/>
      <c r="L111" s="13">
        <f>H111*60*J109/7000</f>
        <v>1.092857142857143</v>
      </c>
      <c r="M111" s="18">
        <f>L111*4.38</f>
        <v>4.7867142857142859</v>
      </c>
      <c r="N111" s="155"/>
    </row>
    <row r="112" spans="1:14" ht="10.5" customHeight="1" x14ac:dyDescent="0.25">
      <c r="A112" s="11" t="s">
        <v>133</v>
      </c>
      <c r="B112" s="59"/>
      <c r="C112" s="59"/>
      <c r="D112" s="56"/>
      <c r="E112" s="59"/>
      <c r="F112" s="14"/>
      <c r="G112" s="9"/>
      <c r="H112" s="15"/>
      <c r="I112" s="15"/>
      <c r="J112" s="15"/>
      <c r="K112" s="56"/>
      <c r="L112" s="62"/>
      <c r="M112" s="60"/>
      <c r="N112" s="56"/>
    </row>
    <row r="114" spans="1:6" ht="10.5" customHeight="1" x14ac:dyDescent="0.25">
      <c r="A114" s="2" t="s">
        <v>136</v>
      </c>
    </row>
    <row r="115" spans="1:6" ht="10.5" customHeight="1" x14ac:dyDescent="0.25">
      <c r="A115" s="36"/>
      <c r="B115" s="39"/>
      <c r="C115" s="36"/>
      <c r="D115" s="39"/>
      <c r="E115" s="36"/>
    </row>
    <row r="116" spans="1:6" ht="10.5" customHeight="1" x14ac:dyDescent="0.25">
      <c r="A116" s="38" t="s">
        <v>6</v>
      </c>
      <c r="B116" s="41" t="s">
        <v>98</v>
      </c>
      <c r="C116" s="38" t="s">
        <v>31</v>
      </c>
      <c r="D116" s="41" t="s">
        <v>83</v>
      </c>
      <c r="E116" s="38" t="s">
        <v>16</v>
      </c>
    </row>
    <row r="117" spans="1:6" ht="10.5" customHeight="1" x14ac:dyDescent="0.25">
      <c r="A117" s="52" t="s">
        <v>7</v>
      </c>
      <c r="B117" s="51" t="s">
        <v>99</v>
      </c>
      <c r="C117" s="70">
        <f>M20+M99</f>
        <v>138.40799999999999</v>
      </c>
      <c r="D117" s="51">
        <v>250</v>
      </c>
      <c r="E117" s="111" t="s">
        <v>30</v>
      </c>
    </row>
    <row r="118" spans="1:6" ht="10.5" customHeight="1" x14ac:dyDescent="0.25">
      <c r="A118" s="52" t="s">
        <v>8</v>
      </c>
      <c r="B118" s="51" t="s">
        <v>99</v>
      </c>
      <c r="C118" s="70">
        <f>M21+M100</f>
        <v>136.65600000000001</v>
      </c>
      <c r="D118" s="51">
        <v>250</v>
      </c>
      <c r="E118" s="112"/>
    </row>
    <row r="119" spans="1:6" ht="10.5" customHeight="1" x14ac:dyDescent="0.25">
      <c r="A119" s="52" t="s">
        <v>9</v>
      </c>
      <c r="B119" s="51" t="s">
        <v>99</v>
      </c>
      <c r="C119" s="19">
        <f>M22+M101</f>
        <v>16.4907</v>
      </c>
      <c r="D119" s="51">
        <v>250</v>
      </c>
      <c r="E119" s="112"/>
    </row>
    <row r="120" spans="1:6" ht="10.5" customHeight="1" x14ac:dyDescent="0.25">
      <c r="A120" s="52" t="s">
        <v>43</v>
      </c>
      <c r="B120" s="51" t="s">
        <v>45</v>
      </c>
      <c r="C120" s="19">
        <f>M4+M6+M7+M5</f>
        <v>17.032499999999999</v>
      </c>
      <c r="D120" s="16" t="s">
        <v>17</v>
      </c>
      <c r="E120" s="112"/>
    </row>
    <row r="121" spans="1:6" ht="10.5" customHeight="1" x14ac:dyDescent="0.25">
      <c r="A121" s="52" t="s">
        <v>43</v>
      </c>
      <c r="B121" s="51" t="s">
        <v>99</v>
      </c>
      <c r="C121" s="70">
        <f>M23+M87+M102+M41+M57+M72+M111+M110+M109</f>
        <v>142.83805714285714</v>
      </c>
      <c r="D121" s="51">
        <v>250</v>
      </c>
      <c r="E121" s="112"/>
    </row>
    <row r="122" spans="1:6" ht="10.5" customHeight="1" x14ac:dyDescent="0.25">
      <c r="A122" s="52" t="s">
        <v>97</v>
      </c>
      <c r="B122" s="51" t="s">
        <v>45</v>
      </c>
      <c r="C122" s="77">
        <f>M8</f>
        <v>2.0074999999999998</v>
      </c>
      <c r="D122" s="16" t="s">
        <v>17</v>
      </c>
      <c r="E122" s="112"/>
    </row>
    <row r="123" spans="1:6" ht="10.5" customHeight="1" x14ac:dyDescent="0.25">
      <c r="A123" s="52" t="s">
        <v>97</v>
      </c>
      <c r="B123" s="51" t="s">
        <v>104</v>
      </c>
      <c r="C123" s="70">
        <f>M24+M58+M88+M42+M73+M103</f>
        <v>225.03688632205422</v>
      </c>
      <c r="D123" s="16" t="s">
        <v>17</v>
      </c>
      <c r="E123" s="112"/>
    </row>
    <row r="124" spans="1:6" ht="10.5" customHeight="1" x14ac:dyDescent="0.25">
      <c r="A124" s="52" t="s">
        <v>97</v>
      </c>
      <c r="B124" s="51" t="s">
        <v>105</v>
      </c>
      <c r="C124" s="70">
        <f>C123+C126+C127+C128</f>
        <v>234.33882806962703</v>
      </c>
      <c r="D124" s="51">
        <v>250</v>
      </c>
      <c r="E124" s="112"/>
      <c r="F124" s="11" t="s">
        <v>110</v>
      </c>
    </row>
    <row r="125" spans="1:6" ht="10.5" customHeight="1" x14ac:dyDescent="0.25">
      <c r="A125" s="52" t="s">
        <v>102</v>
      </c>
      <c r="B125" s="51" t="s">
        <v>99</v>
      </c>
      <c r="C125" s="19">
        <f>SUM(C126:C133)</f>
        <v>15.983179518294961</v>
      </c>
      <c r="D125" s="51">
        <v>25</v>
      </c>
      <c r="E125" s="112"/>
    </row>
    <row r="126" spans="1:6" ht="10.5" customHeight="1" x14ac:dyDescent="0.25">
      <c r="A126" s="52" t="s">
        <v>21</v>
      </c>
      <c r="B126" s="51" t="s">
        <v>99</v>
      </c>
      <c r="C126" s="13">
        <f>M25+M59+M89+M74+M43</f>
        <v>2.788722398831514</v>
      </c>
      <c r="D126" s="51">
        <v>10</v>
      </c>
      <c r="E126" s="112"/>
    </row>
    <row r="127" spans="1:6" ht="10.5" customHeight="1" x14ac:dyDescent="0.25">
      <c r="A127" s="52" t="s">
        <v>22</v>
      </c>
      <c r="B127" s="51" t="s">
        <v>99</v>
      </c>
      <c r="C127" s="13">
        <f>M26+M60+M90+M75+M44</f>
        <v>3.6166870006014245</v>
      </c>
      <c r="D127" s="51">
        <v>10</v>
      </c>
      <c r="E127" s="112"/>
    </row>
    <row r="128" spans="1:6" ht="10.5" customHeight="1" x14ac:dyDescent="0.25">
      <c r="A128" s="52" t="s">
        <v>23</v>
      </c>
      <c r="B128" s="51" t="s">
        <v>99</v>
      </c>
      <c r="C128" s="13">
        <f>M27+M61+M91+M76+M45</f>
        <v>2.8965323481398735</v>
      </c>
      <c r="D128" s="51">
        <v>10</v>
      </c>
      <c r="E128" s="112"/>
    </row>
    <row r="129" spans="1:5" ht="10.5" customHeight="1" x14ac:dyDescent="0.25">
      <c r="A129" s="52" t="s">
        <v>103</v>
      </c>
      <c r="B129" s="51" t="s">
        <v>99</v>
      </c>
      <c r="C129" s="13">
        <f>M28</f>
        <v>4.5599999999999978</v>
      </c>
      <c r="D129" s="16" t="s">
        <v>17</v>
      </c>
      <c r="E129" s="112"/>
    </row>
    <row r="130" spans="1:5" ht="10.5" customHeight="1" x14ac:dyDescent="0.25">
      <c r="A130" s="52" t="s">
        <v>37</v>
      </c>
      <c r="B130" s="51" t="s">
        <v>99</v>
      </c>
      <c r="C130" s="13">
        <f>M29+M62+M77+M46</f>
        <v>0.44723681415929184</v>
      </c>
      <c r="D130" s="51">
        <v>10</v>
      </c>
      <c r="E130" s="112"/>
    </row>
    <row r="131" spans="1:5" ht="10.5" customHeight="1" x14ac:dyDescent="0.25">
      <c r="A131" s="52" t="s">
        <v>38</v>
      </c>
      <c r="B131" s="51" t="s">
        <v>99</v>
      </c>
      <c r="C131" s="13">
        <f>M30+M63+M78+M47</f>
        <v>0.41747681415929183</v>
      </c>
      <c r="D131" s="51">
        <v>10</v>
      </c>
      <c r="E131" s="112"/>
    </row>
    <row r="132" spans="1:5" ht="10.5" customHeight="1" x14ac:dyDescent="0.25">
      <c r="A132" s="52" t="s">
        <v>39</v>
      </c>
      <c r="B132" s="51" t="s">
        <v>99</v>
      </c>
      <c r="C132" s="13">
        <f>M31+M64+M79+M48</f>
        <v>0.13667681415929198</v>
      </c>
      <c r="D132" s="51">
        <v>10</v>
      </c>
      <c r="E132" s="112"/>
    </row>
    <row r="133" spans="1:5" ht="10.5" customHeight="1" x14ac:dyDescent="0.25">
      <c r="A133" s="52" t="s">
        <v>36</v>
      </c>
      <c r="B133" s="51" t="s">
        <v>99</v>
      </c>
      <c r="C133" s="13">
        <f>M32</f>
        <v>1.1198473282442751</v>
      </c>
      <c r="D133" s="51">
        <v>10</v>
      </c>
      <c r="E133" s="113"/>
    </row>
  </sheetData>
  <mergeCells count="90">
    <mergeCell ref="N109:N111"/>
    <mergeCell ref="I109:I111"/>
    <mergeCell ref="E108:G108"/>
    <mergeCell ref="E109:G109"/>
    <mergeCell ref="E110:G110"/>
    <mergeCell ref="E111:G111"/>
    <mergeCell ref="J109:J111"/>
    <mergeCell ref="K109:K111"/>
    <mergeCell ref="A20:A32"/>
    <mergeCell ref="B20:B32"/>
    <mergeCell ref="C20:C32"/>
    <mergeCell ref="D20:D32"/>
    <mergeCell ref="E20:E32"/>
    <mergeCell ref="A4:A8"/>
    <mergeCell ref="B4:B8"/>
    <mergeCell ref="C4:C8"/>
    <mergeCell ref="D4:D8"/>
    <mergeCell ref="G4:G7"/>
    <mergeCell ref="E7:E8"/>
    <mergeCell ref="F7:F8"/>
    <mergeCell ref="F4:F5"/>
    <mergeCell ref="K7:K8"/>
    <mergeCell ref="N7:N8"/>
    <mergeCell ref="F20:F32"/>
    <mergeCell ref="I4:I8"/>
    <mergeCell ref="J4:J8"/>
    <mergeCell ref="I20:I22"/>
    <mergeCell ref="J20:J22"/>
    <mergeCell ref="K20:K22"/>
    <mergeCell ref="N20:N22"/>
    <mergeCell ref="I24:I31"/>
    <mergeCell ref="K24:K32"/>
    <mergeCell ref="N24:N28"/>
    <mergeCell ref="N29:N32"/>
    <mergeCell ref="H4:H5"/>
    <mergeCell ref="K4:K5"/>
    <mergeCell ref="K42:K48"/>
    <mergeCell ref="N42:N45"/>
    <mergeCell ref="N46:N48"/>
    <mergeCell ref="A41:A48"/>
    <mergeCell ref="B41:B48"/>
    <mergeCell ref="C41:C48"/>
    <mergeCell ref="D41:D48"/>
    <mergeCell ref="E41:E48"/>
    <mergeCell ref="F41:F48"/>
    <mergeCell ref="I42:I48"/>
    <mergeCell ref="A57:A64"/>
    <mergeCell ref="B57:B64"/>
    <mergeCell ref="C57:C64"/>
    <mergeCell ref="D57:D64"/>
    <mergeCell ref="E57:E64"/>
    <mergeCell ref="A72:A79"/>
    <mergeCell ref="B72:B79"/>
    <mergeCell ref="C72:C79"/>
    <mergeCell ref="D72:D79"/>
    <mergeCell ref="E72:E79"/>
    <mergeCell ref="A87:A91"/>
    <mergeCell ref="B87:B91"/>
    <mergeCell ref="C87:C91"/>
    <mergeCell ref="D87:D91"/>
    <mergeCell ref="E87:E91"/>
    <mergeCell ref="E117:E133"/>
    <mergeCell ref="A99:A103"/>
    <mergeCell ref="B99:B103"/>
    <mergeCell ref="C99:C103"/>
    <mergeCell ref="D99:D103"/>
    <mergeCell ref="E99:E103"/>
    <mergeCell ref="E107:G107"/>
    <mergeCell ref="C109:C111"/>
    <mergeCell ref="A109:A111"/>
    <mergeCell ref="F99:F103"/>
    <mergeCell ref="K73:K79"/>
    <mergeCell ref="N73:N76"/>
    <mergeCell ref="N77:N79"/>
    <mergeCell ref="F87:F91"/>
    <mergeCell ref="K58:K64"/>
    <mergeCell ref="N58:N61"/>
    <mergeCell ref="N62:N64"/>
    <mergeCell ref="F72:F79"/>
    <mergeCell ref="I73:I79"/>
    <mergeCell ref="F57:F64"/>
    <mergeCell ref="I58:I64"/>
    <mergeCell ref="J88:J91"/>
    <mergeCell ref="I88:I91"/>
    <mergeCell ref="J99:J103"/>
    <mergeCell ref="I99:I103"/>
    <mergeCell ref="N99:N103"/>
    <mergeCell ref="K99:K103"/>
    <mergeCell ref="K88:K91"/>
    <mergeCell ref="N88:N91"/>
  </mergeCells>
  <phoneticPr fontId="5" type="noConversion"/>
  <pageMargins left="0.75" right="0.75" top="1.1499999999999999" bottom="0.5" header="0.65" footer="0.5"/>
  <pageSetup scale="70" orientation="landscape" r:id="rId1"/>
  <headerFooter>
    <oddHeader>&amp;C&amp;"-,Italic"&amp;9Spectrum Energy Georgia LLC
&amp;F
&amp;A</oddHeader>
  </headerFooter>
  <rowBreaks count="1" manualBreakCount="1">
    <brk id="68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33"/>
  <sheetViews>
    <sheetView showGridLines="0" tabSelected="1" view="pageBreakPreview" zoomScaleNormal="100" zoomScaleSheetLayoutView="100" workbookViewId="0">
      <selection activeCell="A33" sqref="A33"/>
    </sheetView>
  </sheetViews>
  <sheetFormatPr defaultColWidth="8.85546875" defaultRowHeight="10.5" customHeight="1" x14ac:dyDescent="0.25"/>
  <cols>
    <col min="1" max="1" width="8.140625" style="94" customWidth="1"/>
    <col min="2" max="2" width="9.42578125" style="94" customWidth="1"/>
    <col min="3" max="3" width="8.140625" style="94" bestFit="1" customWidth="1"/>
    <col min="4" max="4" width="5.28515625" style="94" bestFit="1" customWidth="1"/>
    <col min="5" max="5" width="8.42578125" style="94" customWidth="1"/>
    <col min="6" max="6" width="11.85546875" style="94" customWidth="1"/>
    <col min="7" max="7" width="9.85546875" style="94" bestFit="1" customWidth="1"/>
    <col min="8" max="8" width="10.28515625" style="94" bestFit="1" customWidth="1"/>
    <col min="9" max="9" width="6.5703125" style="94" bestFit="1" customWidth="1"/>
    <col min="10" max="10" width="7.7109375" style="94" bestFit="1" customWidth="1"/>
    <col min="11" max="11" width="9.28515625" style="94" customWidth="1"/>
    <col min="12" max="13" width="8.5703125" style="94" bestFit="1" customWidth="1"/>
    <col min="14" max="14" width="5.7109375" style="94" bestFit="1" customWidth="1"/>
    <col min="15" max="15" width="14.42578125" style="94" customWidth="1"/>
    <col min="16" max="16384" width="8.85546875" style="94"/>
  </cols>
  <sheetData>
    <row r="1" spans="1:16" ht="10.5" customHeight="1" x14ac:dyDescent="0.25">
      <c r="A1" s="2" t="s">
        <v>150</v>
      </c>
      <c r="C1" s="2"/>
      <c r="N1" s="81"/>
    </row>
    <row r="2" spans="1:16" ht="10.5" customHeight="1" x14ac:dyDescent="0.25">
      <c r="A2" s="80"/>
      <c r="B2" s="78" t="s">
        <v>25</v>
      </c>
      <c r="C2" s="79" t="s">
        <v>27</v>
      </c>
      <c r="D2" s="78"/>
      <c r="E2" s="80"/>
      <c r="F2" s="78"/>
      <c r="G2" s="80"/>
      <c r="H2" s="78"/>
      <c r="I2" s="80"/>
      <c r="J2" s="78" t="s">
        <v>11</v>
      </c>
      <c r="K2" s="80"/>
      <c r="L2" s="78" t="s">
        <v>5</v>
      </c>
      <c r="M2" s="80" t="s">
        <v>5</v>
      </c>
      <c r="N2" s="78"/>
      <c r="O2" s="3">
        <v>1320000</v>
      </c>
    </row>
    <row r="3" spans="1:16" ht="10.5" customHeight="1" x14ac:dyDescent="0.25">
      <c r="A3" s="82" t="s">
        <v>19</v>
      </c>
      <c r="B3" s="86" t="s">
        <v>11</v>
      </c>
      <c r="C3" s="82" t="s">
        <v>11</v>
      </c>
      <c r="D3" s="86" t="s">
        <v>2</v>
      </c>
      <c r="E3" s="82" t="s">
        <v>12</v>
      </c>
      <c r="F3" s="86" t="s">
        <v>80</v>
      </c>
      <c r="G3" s="82" t="s">
        <v>6</v>
      </c>
      <c r="H3" s="86" t="s">
        <v>10</v>
      </c>
      <c r="I3" s="82" t="s">
        <v>11</v>
      </c>
      <c r="J3" s="86" t="s">
        <v>10</v>
      </c>
      <c r="K3" s="82" t="s">
        <v>16</v>
      </c>
      <c r="L3" s="86" t="s">
        <v>3</v>
      </c>
      <c r="M3" s="82" t="s">
        <v>4</v>
      </c>
      <c r="N3" s="86" t="s">
        <v>13</v>
      </c>
      <c r="O3" s="75">
        <v>1200000</v>
      </c>
    </row>
    <row r="4" spans="1:16" ht="10.5" customHeight="1" x14ac:dyDescent="0.25">
      <c r="A4" s="114" t="s">
        <v>18</v>
      </c>
      <c r="B4" s="123" t="s">
        <v>17</v>
      </c>
      <c r="C4" s="125" t="s">
        <v>17</v>
      </c>
      <c r="D4" s="123" t="s">
        <v>79</v>
      </c>
      <c r="E4" s="96" t="s">
        <v>34</v>
      </c>
      <c r="F4" s="180">
        <f>O2*2</f>
        <v>2640000</v>
      </c>
      <c r="G4" s="114" t="s">
        <v>43</v>
      </c>
      <c r="H4" s="156">
        <f>0.024*0.5</f>
        <v>1.2E-2</v>
      </c>
      <c r="I4" s="143" t="s">
        <v>17</v>
      </c>
      <c r="J4" s="147" t="s">
        <v>17</v>
      </c>
      <c r="K4" s="114" t="s">
        <v>134</v>
      </c>
      <c r="L4" s="99" t="s">
        <v>17</v>
      </c>
      <c r="M4" s="74">
        <f>H4*F4/2000</f>
        <v>15.84</v>
      </c>
      <c r="N4" s="111" t="s">
        <v>14</v>
      </c>
      <c r="O4" s="76">
        <f>O20+O99</f>
        <v>305</v>
      </c>
    </row>
    <row r="5" spans="1:16" ht="10.5" customHeight="1" x14ac:dyDescent="0.25">
      <c r="A5" s="115"/>
      <c r="B5" s="137"/>
      <c r="C5" s="157"/>
      <c r="D5" s="137"/>
      <c r="E5" s="96" t="s">
        <v>41</v>
      </c>
      <c r="F5" s="181"/>
      <c r="G5" s="115"/>
      <c r="H5" s="149"/>
      <c r="I5" s="145"/>
      <c r="J5" s="149"/>
      <c r="K5" s="115"/>
      <c r="L5" s="99" t="s">
        <v>17</v>
      </c>
      <c r="M5" s="74">
        <f>H4*F4/2000</f>
        <v>15.84</v>
      </c>
      <c r="N5" s="112"/>
      <c r="O5" s="64">
        <f>H41+H57+H72</f>
        <v>330000</v>
      </c>
      <c r="P5" s="94" t="s">
        <v>32</v>
      </c>
    </row>
    <row r="6" spans="1:16" ht="10.5" customHeight="1" x14ac:dyDescent="0.25">
      <c r="A6" s="115"/>
      <c r="B6" s="137"/>
      <c r="C6" s="157"/>
      <c r="D6" s="137"/>
      <c r="E6" s="96" t="s">
        <v>42</v>
      </c>
      <c r="F6" s="181"/>
      <c r="G6" s="115"/>
      <c r="H6" s="149"/>
      <c r="I6" s="145"/>
      <c r="J6" s="149"/>
      <c r="K6" s="115"/>
      <c r="L6" s="99" t="s">
        <v>17</v>
      </c>
      <c r="M6" s="74">
        <f>H4*F4/2000</f>
        <v>15.84</v>
      </c>
      <c r="N6" s="112"/>
      <c r="O6" s="64">
        <f>H23</f>
        <v>340000</v>
      </c>
      <c r="P6" s="94" t="s">
        <v>28</v>
      </c>
    </row>
    <row r="7" spans="1:16" ht="10.5" customHeight="1" x14ac:dyDescent="0.25">
      <c r="A7" s="115"/>
      <c r="B7" s="137"/>
      <c r="C7" s="157"/>
      <c r="D7" s="137"/>
      <c r="E7" s="96" t="s">
        <v>40</v>
      </c>
      <c r="F7" s="181"/>
      <c r="G7" s="115"/>
      <c r="H7" s="149"/>
      <c r="I7" s="145"/>
      <c r="J7" s="149"/>
      <c r="K7" s="115"/>
      <c r="L7" s="99" t="s">
        <v>17</v>
      </c>
      <c r="M7" s="74">
        <f>H4*F4/2000</f>
        <v>15.84</v>
      </c>
      <c r="N7" s="113"/>
    </row>
    <row r="8" spans="1:16" ht="10.5" customHeight="1" x14ac:dyDescent="0.25">
      <c r="A8" s="115"/>
      <c r="B8" s="137"/>
      <c r="C8" s="157"/>
      <c r="D8" s="137"/>
      <c r="E8" s="96" t="s">
        <v>151</v>
      </c>
      <c r="F8" s="182"/>
      <c r="G8" s="115"/>
      <c r="H8" s="150"/>
      <c r="I8" s="145"/>
      <c r="J8" s="149"/>
      <c r="K8" s="116"/>
      <c r="L8" s="99"/>
      <c r="M8" s="74">
        <f>H4*F4/2000</f>
        <v>15.84</v>
      </c>
      <c r="N8" s="86" t="s">
        <v>15</v>
      </c>
    </row>
    <row r="9" spans="1:16" ht="10.5" customHeight="1" x14ac:dyDescent="0.25">
      <c r="A9" s="115"/>
      <c r="B9" s="137"/>
      <c r="C9" s="157"/>
      <c r="D9" s="137"/>
      <c r="E9" s="96" t="s">
        <v>161</v>
      </c>
      <c r="F9" s="27">
        <v>500</v>
      </c>
      <c r="G9" s="115"/>
      <c r="H9" s="26">
        <v>5</v>
      </c>
      <c r="I9" s="145"/>
      <c r="J9" s="149"/>
      <c r="K9" s="101" t="s">
        <v>47</v>
      </c>
      <c r="L9" s="99" t="s">
        <v>17</v>
      </c>
      <c r="M9" s="18">
        <f>H9*F9/2000</f>
        <v>1.25</v>
      </c>
      <c r="N9" s="86" t="s">
        <v>20</v>
      </c>
    </row>
    <row r="10" spans="1:16" ht="10.5" customHeight="1" x14ac:dyDescent="0.25">
      <c r="A10" s="115"/>
      <c r="B10" s="137"/>
      <c r="C10" s="158"/>
      <c r="D10" s="158"/>
      <c r="E10" s="114" t="s">
        <v>162</v>
      </c>
      <c r="F10" s="179">
        <v>5</v>
      </c>
      <c r="G10" s="116"/>
      <c r="H10" s="89">
        <v>4.3899999999999997</v>
      </c>
      <c r="I10" s="145"/>
      <c r="J10" s="149"/>
      <c r="K10" s="114" t="s">
        <v>44</v>
      </c>
      <c r="L10" s="99" t="s">
        <v>17</v>
      </c>
      <c r="M10" s="102">
        <f>H11*F10*365/2000</f>
        <v>4.0149999999999997</v>
      </c>
      <c r="N10" s="111" t="s">
        <v>29</v>
      </c>
    </row>
    <row r="11" spans="1:16" ht="10.5" customHeight="1" x14ac:dyDescent="0.25">
      <c r="A11" s="116"/>
      <c r="B11" s="155"/>
      <c r="C11" s="155"/>
      <c r="D11" s="155"/>
      <c r="E11" s="159"/>
      <c r="F11" s="155"/>
      <c r="G11" s="82" t="s">
        <v>26</v>
      </c>
      <c r="H11" s="100">
        <f>3.6*44/36</f>
        <v>4.4000000000000004</v>
      </c>
      <c r="I11" s="146"/>
      <c r="J11" s="150"/>
      <c r="K11" s="116"/>
      <c r="L11" s="99" t="s">
        <v>17</v>
      </c>
      <c r="M11" s="18">
        <f>H11*F10*365/2000</f>
        <v>4.0149999999999997</v>
      </c>
      <c r="N11" s="113"/>
    </row>
    <row r="12" spans="1:16" ht="10.5" customHeight="1" x14ac:dyDescent="0.25">
      <c r="A12" s="94" t="s">
        <v>144</v>
      </c>
      <c r="B12" s="81"/>
      <c r="C12" s="81"/>
      <c r="D12" s="85"/>
      <c r="E12" s="81"/>
      <c r="F12" s="1"/>
      <c r="G12" s="81"/>
      <c r="H12" s="87"/>
      <c r="I12" s="87"/>
      <c r="J12" s="87"/>
      <c r="K12" s="81"/>
      <c r="L12" s="88"/>
      <c r="M12" s="88"/>
      <c r="N12" s="81"/>
    </row>
    <row r="13" spans="1:16" ht="10.5" customHeight="1" x14ac:dyDescent="0.25">
      <c r="A13" s="94" t="s">
        <v>154</v>
      </c>
      <c r="B13" s="81"/>
      <c r="C13" s="81"/>
      <c r="D13" s="85"/>
      <c r="E13" s="81"/>
      <c r="F13" s="1"/>
      <c r="G13" s="81"/>
      <c r="H13" s="87"/>
      <c r="I13" s="87"/>
      <c r="J13" s="87"/>
      <c r="K13" s="81"/>
      <c r="L13" s="88"/>
      <c r="M13" s="88"/>
      <c r="N13" s="81"/>
    </row>
    <row r="14" spans="1:16" ht="10.5" customHeight="1" x14ac:dyDescent="0.25">
      <c r="A14" s="94" t="s">
        <v>155</v>
      </c>
      <c r="B14" s="81"/>
      <c r="C14" s="81"/>
      <c r="D14" s="85"/>
      <c r="E14" s="81"/>
      <c r="F14" s="1"/>
      <c r="G14" s="81"/>
      <c r="H14" s="87"/>
      <c r="I14" s="87"/>
      <c r="J14" s="87"/>
      <c r="K14" s="81"/>
      <c r="L14" s="88"/>
      <c r="M14" s="88"/>
      <c r="N14" s="81"/>
    </row>
    <row r="15" spans="1:16" ht="10.5" customHeight="1" x14ac:dyDescent="0.25">
      <c r="A15" s="94" t="s">
        <v>156</v>
      </c>
      <c r="B15" s="81"/>
      <c r="C15" s="81"/>
      <c r="D15" s="85"/>
      <c r="E15" s="81"/>
      <c r="F15" s="1"/>
      <c r="G15" s="81"/>
      <c r="H15" s="87"/>
      <c r="I15" s="87"/>
      <c r="J15" s="87"/>
      <c r="K15" s="81"/>
      <c r="L15" s="88"/>
      <c r="M15" s="88"/>
      <c r="N15" s="81"/>
    </row>
    <row r="17" spans="1:15" ht="10.5" customHeight="1" x14ac:dyDescent="0.25">
      <c r="A17" s="2" t="s">
        <v>88</v>
      </c>
      <c r="B17" s="2"/>
      <c r="C17" s="2"/>
      <c r="N17" s="81"/>
    </row>
    <row r="18" spans="1:15" ht="10.5" customHeight="1" x14ac:dyDescent="0.25">
      <c r="A18" s="80"/>
      <c r="B18" s="78" t="s">
        <v>25</v>
      </c>
      <c r="C18" s="79" t="s">
        <v>27</v>
      </c>
      <c r="D18" s="78"/>
      <c r="E18" s="80"/>
      <c r="F18" s="78"/>
      <c r="G18" s="80"/>
      <c r="H18" s="78"/>
      <c r="I18" s="80"/>
      <c r="J18" s="78" t="s">
        <v>11</v>
      </c>
      <c r="K18" s="80"/>
      <c r="L18" s="78" t="s">
        <v>5</v>
      </c>
      <c r="M18" s="80" t="s">
        <v>5</v>
      </c>
      <c r="N18" s="78"/>
    </row>
    <row r="19" spans="1:15" ht="10.5" customHeight="1" x14ac:dyDescent="0.25">
      <c r="A19" s="82" t="s">
        <v>19</v>
      </c>
      <c r="B19" s="86" t="s">
        <v>11</v>
      </c>
      <c r="C19" s="82" t="s">
        <v>11</v>
      </c>
      <c r="D19" s="86" t="s">
        <v>2</v>
      </c>
      <c r="E19" s="82" t="s">
        <v>12</v>
      </c>
      <c r="F19" s="86" t="s">
        <v>80</v>
      </c>
      <c r="G19" s="82" t="s">
        <v>6</v>
      </c>
      <c r="H19" s="86" t="s">
        <v>10</v>
      </c>
      <c r="I19" s="82" t="s">
        <v>11</v>
      </c>
      <c r="J19" s="86" t="s">
        <v>10</v>
      </c>
      <c r="K19" s="82" t="s">
        <v>16</v>
      </c>
      <c r="L19" s="86" t="s">
        <v>3</v>
      </c>
      <c r="M19" s="82" t="s">
        <v>4</v>
      </c>
      <c r="N19" s="86" t="s">
        <v>13</v>
      </c>
    </row>
    <row r="20" spans="1:15" ht="10.5" customHeight="1" x14ac:dyDescent="0.25">
      <c r="A20" s="114" t="s">
        <v>93</v>
      </c>
      <c r="B20" s="176" t="s">
        <v>159</v>
      </c>
      <c r="C20" s="127" t="s">
        <v>28</v>
      </c>
      <c r="D20" s="111" t="s">
        <v>0</v>
      </c>
      <c r="E20" s="127" t="s">
        <v>160</v>
      </c>
      <c r="F20" s="142">
        <f>O2</f>
        <v>1320000</v>
      </c>
      <c r="G20" s="96" t="s">
        <v>7</v>
      </c>
      <c r="H20" s="12">
        <v>0.19400000000000001</v>
      </c>
      <c r="I20" s="108" t="s">
        <v>17</v>
      </c>
      <c r="J20" s="184" t="s">
        <v>17</v>
      </c>
      <c r="K20" s="175" t="s">
        <v>33</v>
      </c>
      <c r="L20" s="97" t="s">
        <v>17</v>
      </c>
      <c r="M20" s="31">
        <f>O20*H20*8760/2000</f>
        <v>237.92160000000001</v>
      </c>
      <c r="N20" s="174" t="s">
        <v>14</v>
      </c>
      <c r="O20" s="94">
        <v>280</v>
      </c>
    </row>
    <row r="21" spans="1:15" ht="10.5" customHeight="1" x14ac:dyDescent="0.25">
      <c r="A21" s="115"/>
      <c r="B21" s="177"/>
      <c r="C21" s="139"/>
      <c r="D21" s="112"/>
      <c r="E21" s="139"/>
      <c r="F21" s="142"/>
      <c r="G21" s="96" t="s">
        <v>8</v>
      </c>
      <c r="H21" s="12">
        <v>0.19400000000000001</v>
      </c>
      <c r="I21" s="151"/>
      <c r="J21" s="185"/>
      <c r="K21" s="175"/>
      <c r="L21" s="97" t="s">
        <v>17</v>
      </c>
      <c r="M21" s="31">
        <f>O20*H21*8760/2000</f>
        <v>237.92160000000001</v>
      </c>
      <c r="N21" s="174"/>
      <c r="O21" s="103"/>
    </row>
    <row r="22" spans="1:15" ht="10.5" customHeight="1" x14ac:dyDescent="0.25">
      <c r="A22" s="115"/>
      <c r="B22" s="177"/>
      <c r="C22" s="139"/>
      <c r="D22" s="112"/>
      <c r="E22" s="139"/>
      <c r="F22" s="142"/>
      <c r="G22" s="96" t="s">
        <v>9</v>
      </c>
      <c r="H22" s="12">
        <v>2.5000000000000001E-2</v>
      </c>
      <c r="I22" s="152"/>
      <c r="J22" s="185"/>
      <c r="K22" s="175"/>
      <c r="L22" s="97" t="s">
        <v>17</v>
      </c>
      <c r="M22" s="68">
        <f>O20*H22*8760/2000</f>
        <v>30.66</v>
      </c>
      <c r="N22" s="174"/>
      <c r="O22" s="103"/>
    </row>
    <row r="23" spans="1:15" ht="10.5" customHeight="1" x14ac:dyDescent="0.25">
      <c r="A23" s="115"/>
      <c r="B23" s="177"/>
      <c r="C23" s="139"/>
      <c r="D23" s="112"/>
      <c r="E23" s="139"/>
      <c r="F23" s="142"/>
      <c r="G23" s="96" t="s">
        <v>43</v>
      </c>
      <c r="H23" s="65">
        <v>340000</v>
      </c>
      <c r="I23" s="63" t="s">
        <v>17</v>
      </c>
      <c r="J23" s="71">
        <v>8.5000000000000006E-3</v>
      </c>
      <c r="K23" s="96" t="s">
        <v>84</v>
      </c>
      <c r="L23" s="19">
        <f>H23*60*J23/7000</f>
        <v>24.771428571428572</v>
      </c>
      <c r="M23" s="31">
        <f>L23*4.38</f>
        <v>108.49885714285715</v>
      </c>
      <c r="N23" s="98" t="s">
        <v>15</v>
      </c>
    </row>
    <row r="24" spans="1:15" ht="10.5" customHeight="1" x14ac:dyDescent="0.25">
      <c r="A24" s="115"/>
      <c r="B24" s="177"/>
      <c r="C24" s="139"/>
      <c r="D24" s="112"/>
      <c r="E24" s="139"/>
      <c r="F24" s="142"/>
      <c r="G24" s="96" t="s">
        <v>26</v>
      </c>
      <c r="H24" s="70">
        <f>6</f>
        <v>6</v>
      </c>
      <c r="I24" s="120">
        <v>0.98</v>
      </c>
      <c r="J24" s="19">
        <f>(1-I24)*H24</f>
        <v>0.12000000000000011</v>
      </c>
      <c r="K24" s="175" t="s">
        <v>24</v>
      </c>
      <c r="L24" s="97" t="s">
        <v>17</v>
      </c>
      <c r="M24" s="68">
        <f>J24*F20/2000</f>
        <v>79.200000000000074</v>
      </c>
      <c r="N24" s="174" t="s">
        <v>20</v>
      </c>
      <c r="O24" s="103"/>
    </row>
    <row r="25" spans="1:15" ht="10.5" customHeight="1" x14ac:dyDescent="0.25">
      <c r="A25" s="115"/>
      <c r="B25" s="177"/>
      <c r="C25" s="139"/>
      <c r="D25" s="112"/>
      <c r="E25" s="139"/>
      <c r="F25" s="142"/>
      <c r="G25" s="35" t="s">
        <v>21</v>
      </c>
      <c r="H25" s="100">
        <f>0.11</f>
        <v>0.11</v>
      </c>
      <c r="I25" s="121"/>
      <c r="J25" s="33">
        <f>(1-I24)*H25</f>
        <v>2.2000000000000019E-3</v>
      </c>
      <c r="K25" s="175"/>
      <c r="L25" s="97" t="s">
        <v>17</v>
      </c>
      <c r="M25" s="18">
        <f>J25*F20/2000</f>
        <v>1.4520000000000011</v>
      </c>
      <c r="N25" s="174"/>
      <c r="O25" s="103"/>
    </row>
    <row r="26" spans="1:15" ht="10.5" customHeight="1" x14ac:dyDescent="0.25">
      <c r="A26" s="115"/>
      <c r="B26" s="177"/>
      <c r="C26" s="139"/>
      <c r="D26" s="112"/>
      <c r="E26" s="139"/>
      <c r="F26" s="142"/>
      <c r="G26" s="35" t="s">
        <v>22</v>
      </c>
      <c r="H26" s="100">
        <f>0.14</f>
        <v>0.14000000000000001</v>
      </c>
      <c r="I26" s="121"/>
      <c r="J26" s="33">
        <f>(1-I24)*H26</f>
        <v>2.8000000000000026E-3</v>
      </c>
      <c r="K26" s="175"/>
      <c r="L26" s="97" t="s">
        <v>17</v>
      </c>
      <c r="M26" s="18">
        <f>J26*F20/2000</f>
        <v>1.8480000000000016</v>
      </c>
      <c r="N26" s="174"/>
      <c r="O26" s="103"/>
    </row>
    <row r="27" spans="1:15" ht="10.5" customHeight="1" x14ac:dyDescent="0.25">
      <c r="A27" s="115"/>
      <c r="B27" s="177"/>
      <c r="C27" s="139"/>
      <c r="D27" s="112"/>
      <c r="E27" s="139"/>
      <c r="F27" s="142"/>
      <c r="G27" s="35" t="s">
        <v>23</v>
      </c>
      <c r="H27" s="100">
        <f>0.11</f>
        <v>0.11</v>
      </c>
      <c r="I27" s="121"/>
      <c r="J27" s="33">
        <f>(1-I24)*H27</f>
        <v>2.2000000000000019E-3</v>
      </c>
      <c r="K27" s="175"/>
      <c r="L27" s="97" t="s">
        <v>17</v>
      </c>
      <c r="M27" s="18">
        <f>J27*F20/2000</f>
        <v>1.4520000000000011</v>
      </c>
      <c r="N27" s="174"/>
      <c r="O27" s="103"/>
    </row>
    <row r="28" spans="1:15" ht="10.5" customHeight="1" x14ac:dyDescent="0.25">
      <c r="A28" s="115"/>
      <c r="B28" s="177"/>
      <c r="C28" s="139"/>
      <c r="D28" s="112"/>
      <c r="E28" s="139"/>
      <c r="F28" s="142"/>
      <c r="G28" s="35" t="s">
        <v>103</v>
      </c>
      <c r="H28" s="100">
        <f>0.19</f>
        <v>0.19</v>
      </c>
      <c r="I28" s="121"/>
      <c r="J28" s="33">
        <f>(1-I24)*H28</f>
        <v>3.8000000000000035E-3</v>
      </c>
      <c r="K28" s="175"/>
      <c r="L28" s="97" t="s">
        <v>17</v>
      </c>
      <c r="M28" s="18">
        <f>J28*F20/2000</f>
        <v>2.5080000000000022</v>
      </c>
      <c r="N28" s="174"/>
      <c r="O28" s="103"/>
    </row>
    <row r="29" spans="1:15" ht="10.5" customHeight="1" x14ac:dyDescent="0.25">
      <c r="A29" s="115"/>
      <c r="B29" s="177"/>
      <c r="C29" s="139"/>
      <c r="D29" s="112"/>
      <c r="E29" s="139"/>
      <c r="F29" s="142"/>
      <c r="G29" s="35" t="s">
        <v>37</v>
      </c>
      <c r="H29" s="33">
        <f>0.00641</f>
        <v>6.4099999999999999E-3</v>
      </c>
      <c r="I29" s="121"/>
      <c r="J29" s="33">
        <f>(1-I24)*H29</f>
        <v>1.2820000000000011E-4</v>
      </c>
      <c r="K29" s="175"/>
      <c r="L29" s="97" t="s">
        <v>17</v>
      </c>
      <c r="M29" s="18">
        <f>J29*F20/2000</f>
        <v>8.4612000000000062E-2</v>
      </c>
      <c r="N29" s="174" t="s">
        <v>29</v>
      </c>
      <c r="O29" s="103"/>
    </row>
    <row r="30" spans="1:15" ht="10.5" customHeight="1" x14ac:dyDescent="0.25">
      <c r="A30" s="115"/>
      <c r="B30" s="177"/>
      <c r="C30" s="139"/>
      <c r="D30" s="112"/>
      <c r="E30" s="139"/>
      <c r="F30" s="142"/>
      <c r="G30" s="35" t="s">
        <v>38</v>
      </c>
      <c r="H30" s="33">
        <f>0.00847</f>
        <v>8.4700000000000001E-3</v>
      </c>
      <c r="I30" s="121"/>
      <c r="J30" s="33">
        <f>(1-I24)*H30</f>
        <v>1.6940000000000016E-4</v>
      </c>
      <c r="K30" s="175"/>
      <c r="L30" s="97" t="s">
        <v>17</v>
      </c>
      <c r="M30" s="18">
        <f>J30*F20/2000</f>
        <v>0.1118040000000001</v>
      </c>
      <c r="N30" s="174"/>
      <c r="O30" s="103"/>
    </row>
    <row r="31" spans="1:15" ht="10.5" customHeight="1" x14ac:dyDescent="0.25">
      <c r="A31" s="115"/>
      <c r="B31" s="177"/>
      <c r="C31" s="139"/>
      <c r="D31" s="112"/>
      <c r="E31" s="139"/>
      <c r="F31" s="142"/>
      <c r="G31" s="35" t="s">
        <v>39</v>
      </c>
      <c r="H31" s="33">
        <f>0.00206</f>
        <v>2.0600000000000002E-3</v>
      </c>
      <c r="I31" s="122"/>
      <c r="J31" s="33">
        <f>(1-I24)*H31</f>
        <v>4.1200000000000039E-5</v>
      </c>
      <c r="K31" s="175"/>
      <c r="L31" s="97" t="s">
        <v>17</v>
      </c>
      <c r="M31" s="18">
        <f>J31*F20/2000</f>
        <v>2.7192000000000025E-2</v>
      </c>
      <c r="N31" s="174"/>
      <c r="O31" s="103"/>
    </row>
    <row r="32" spans="1:15" ht="10.5" customHeight="1" x14ac:dyDescent="0.25">
      <c r="A32" s="116"/>
      <c r="B32" s="178"/>
      <c r="C32" s="140"/>
      <c r="D32" s="113"/>
      <c r="E32" s="140"/>
      <c r="F32" s="195"/>
      <c r="G32" s="35" t="s">
        <v>36</v>
      </c>
      <c r="H32" s="12">
        <f>0.163/13.1</f>
        <v>1.2442748091603055E-2</v>
      </c>
      <c r="I32" s="32">
        <v>0.7</v>
      </c>
      <c r="J32" s="33">
        <f>(1-I32)*H32</f>
        <v>3.732824427480917E-3</v>
      </c>
      <c r="K32" s="175"/>
      <c r="L32" s="97" t="s">
        <v>17</v>
      </c>
      <c r="M32" s="18">
        <f>J32*F20/2000</f>
        <v>2.4636641221374052</v>
      </c>
      <c r="N32" s="174"/>
      <c r="O32" s="103"/>
    </row>
    <row r="33" spans="1:15" ht="10.5" customHeight="1" x14ac:dyDescent="0.25">
      <c r="A33" s="94" t="s">
        <v>167</v>
      </c>
      <c r="O33" s="104"/>
    </row>
    <row r="34" spans="1:15" ht="10.5" customHeight="1" x14ac:dyDescent="0.25">
      <c r="A34" s="94" t="s">
        <v>166</v>
      </c>
      <c r="O34" s="104"/>
    </row>
    <row r="35" spans="1:15" ht="10.5" customHeight="1" x14ac:dyDescent="0.25">
      <c r="A35" s="94" t="s">
        <v>95</v>
      </c>
      <c r="O35" s="103"/>
    </row>
    <row r="36" spans="1:15" ht="10.5" customHeight="1" x14ac:dyDescent="0.25">
      <c r="A36" s="94" t="s">
        <v>55</v>
      </c>
      <c r="O36" s="103"/>
    </row>
    <row r="38" spans="1:15" ht="10.5" customHeight="1" x14ac:dyDescent="0.25">
      <c r="A38" s="8" t="s">
        <v>109</v>
      </c>
      <c r="B38" s="2"/>
      <c r="C38" s="2"/>
      <c r="N38" s="81"/>
      <c r="O38" s="103"/>
    </row>
    <row r="39" spans="1:15" ht="10.5" customHeight="1" x14ac:dyDescent="0.25">
      <c r="A39" s="80"/>
      <c r="B39" s="78" t="s">
        <v>25</v>
      </c>
      <c r="C39" s="79" t="s">
        <v>27</v>
      </c>
      <c r="D39" s="78"/>
      <c r="E39" s="80"/>
      <c r="F39" s="78"/>
      <c r="G39" s="80"/>
      <c r="H39" s="78"/>
      <c r="I39" s="80"/>
      <c r="J39" s="78" t="s">
        <v>11</v>
      </c>
      <c r="K39" s="80"/>
      <c r="L39" s="78" t="s">
        <v>5</v>
      </c>
      <c r="M39" s="80" t="s">
        <v>5</v>
      </c>
      <c r="N39" s="78"/>
      <c r="O39" s="103"/>
    </row>
    <row r="40" spans="1:15" ht="10.5" customHeight="1" x14ac:dyDescent="0.25">
      <c r="A40" s="82" t="s">
        <v>19</v>
      </c>
      <c r="B40" s="86" t="s">
        <v>11</v>
      </c>
      <c r="C40" s="82" t="s">
        <v>11</v>
      </c>
      <c r="D40" s="86" t="s">
        <v>2</v>
      </c>
      <c r="E40" s="82" t="s">
        <v>12</v>
      </c>
      <c r="F40" s="86" t="s">
        <v>80</v>
      </c>
      <c r="G40" s="82" t="s">
        <v>6</v>
      </c>
      <c r="H40" s="86" t="s">
        <v>10</v>
      </c>
      <c r="I40" s="82" t="s">
        <v>11</v>
      </c>
      <c r="J40" s="86" t="s">
        <v>10</v>
      </c>
      <c r="K40" s="82" t="s">
        <v>16</v>
      </c>
      <c r="L40" s="86" t="s">
        <v>3</v>
      </c>
      <c r="M40" s="82" t="s">
        <v>4</v>
      </c>
      <c r="N40" s="86" t="s">
        <v>13</v>
      </c>
      <c r="O40" s="103"/>
    </row>
    <row r="41" spans="1:15" ht="10.5" customHeight="1" x14ac:dyDescent="0.25">
      <c r="A41" s="114" t="s">
        <v>127</v>
      </c>
      <c r="B41" s="134" t="s">
        <v>113</v>
      </c>
      <c r="C41" s="127" t="s">
        <v>32</v>
      </c>
      <c r="D41" s="111" t="s">
        <v>1</v>
      </c>
      <c r="E41" s="127" t="s">
        <v>145</v>
      </c>
      <c r="F41" s="187">
        <f>O2</f>
        <v>1320000</v>
      </c>
      <c r="G41" s="96" t="s">
        <v>43</v>
      </c>
      <c r="H41" s="65">
        <v>30000</v>
      </c>
      <c r="I41" s="63" t="s">
        <v>17</v>
      </c>
      <c r="J41" s="71">
        <f>J23</f>
        <v>8.5000000000000006E-3</v>
      </c>
      <c r="K41" s="96" t="s">
        <v>84</v>
      </c>
      <c r="L41" s="100">
        <f>H41*60*J41/7000</f>
        <v>2.1857142857142859</v>
      </c>
      <c r="M41" s="18">
        <f>L41*4.38</f>
        <v>9.5734285714285718</v>
      </c>
      <c r="N41" s="98" t="s">
        <v>14</v>
      </c>
    </row>
    <row r="42" spans="1:15" ht="10.5" customHeight="1" x14ac:dyDescent="0.25">
      <c r="A42" s="115"/>
      <c r="B42" s="135"/>
      <c r="C42" s="139"/>
      <c r="D42" s="112"/>
      <c r="E42" s="139"/>
      <c r="F42" s="188"/>
      <c r="G42" s="96" t="s">
        <v>26</v>
      </c>
      <c r="H42" s="12">
        <f>10.68/33.9</f>
        <v>0.31504424778761064</v>
      </c>
      <c r="I42" s="186">
        <v>0.93</v>
      </c>
      <c r="J42" s="12">
        <f>(1-I42)*H42</f>
        <v>2.2053097345132729E-2</v>
      </c>
      <c r="K42" s="175" t="s">
        <v>134</v>
      </c>
      <c r="L42" s="97" t="s">
        <v>17</v>
      </c>
      <c r="M42" s="68">
        <f>J42*F41/2000</f>
        <v>14.555044247787601</v>
      </c>
      <c r="N42" s="174" t="s">
        <v>15</v>
      </c>
      <c r="O42" s="103"/>
    </row>
    <row r="43" spans="1:15" ht="10.5" customHeight="1" x14ac:dyDescent="0.25">
      <c r="A43" s="115"/>
      <c r="B43" s="135"/>
      <c r="C43" s="139"/>
      <c r="D43" s="112"/>
      <c r="E43" s="139"/>
      <c r="F43" s="188"/>
      <c r="G43" s="35" t="s">
        <v>21</v>
      </c>
      <c r="H43" s="33">
        <f>0.02/33.9</f>
        <v>5.8997050147492625E-4</v>
      </c>
      <c r="I43" s="186"/>
      <c r="J43" s="33">
        <f>(1-I42)*H43</f>
        <v>4.1297935103244811E-5</v>
      </c>
      <c r="K43" s="175"/>
      <c r="L43" s="97" t="s">
        <v>17</v>
      </c>
      <c r="M43" s="18">
        <f>J43*F41/2000</f>
        <v>2.7256637168141577E-2</v>
      </c>
      <c r="N43" s="174"/>
      <c r="O43" s="103"/>
    </row>
    <row r="44" spans="1:15" ht="10.5" customHeight="1" x14ac:dyDescent="0.25">
      <c r="A44" s="115"/>
      <c r="B44" s="135"/>
      <c r="C44" s="139"/>
      <c r="D44" s="112"/>
      <c r="E44" s="139"/>
      <c r="F44" s="188"/>
      <c r="G44" s="35" t="s">
        <v>22</v>
      </c>
      <c r="H44" s="33">
        <f>0.003/33.9</f>
        <v>8.849557522123894E-5</v>
      </c>
      <c r="I44" s="186"/>
      <c r="J44" s="33">
        <f>(1-I42)*H44</f>
        <v>6.1946902654867211E-6</v>
      </c>
      <c r="K44" s="175"/>
      <c r="L44" s="97" t="s">
        <v>17</v>
      </c>
      <c r="M44" s="18">
        <f>J44*F41/2000</f>
        <v>4.0884955752212362E-3</v>
      </c>
      <c r="N44" s="174"/>
      <c r="O44" s="103"/>
    </row>
    <row r="45" spans="1:15" ht="10.5" customHeight="1" x14ac:dyDescent="0.25">
      <c r="A45" s="115"/>
      <c r="B45" s="135"/>
      <c r="C45" s="139"/>
      <c r="D45" s="112"/>
      <c r="E45" s="139"/>
      <c r="F45" s="188"/>
      <c r="G45" s="35" t="s">
        <v>23</v>
      </c>
      <c r="H45" s="33">
        <f>0.09/33.9</f>
        <v>2.6548672566371681E-3</v>
      </c>
      <c r="I45" s="186"/>
      <c r="J45" s="33">
        <f>(1-I42)*H45</f>
        <v>1.8584070796460163E-4</v>
      </c>
      <c r="K45" s="175"/>
      <c r="L45" s="97" t="s">
        <v>17</v>
      </c>
      <c r="M45" s="18">
        <f>J45*F41/2000</f>
        <v>0.12265486725663707</v>
      </c>
      <c r="N45" s="174"/>
      <c r="O45" s="103"/>
    </row>
    <row r="46" spans="1:15" ht="10.5" customHeight="1" x14ac:dyDescent="0.25">
      <c r="A46" s="115"/>
      <c r="B46" s="135"/>
      <c r="C46" s="139"/>
      <c r="D46" s="112"/>
      <c r="E46" s="139"/>
      <c r="F46" s="188"/>
      <c r="G46" s="35" t="s">
        <v>37</v>
      </c>
      <c r="H46" s="33">
        <f>H45</f>
        <v>2.6548672566371681E-3</v>
      </c>
      <c r="I46" s="186"/>
      <c r="J46" s="33">
        <f>(1-I42)*H46</f>
        <v>1.8584070796460163E-4</v>
      </c>
      <c r="K46" s="175"/>
      <c r="L46" s="97" t="s">
        <v>17</v>
      </c>
      <c r="M46" s="18">
        <f>J46*F41/2000</f>
        <v>0.12265486725663707</v>
      </c>
      <c r="N46" s="174" t="s">
        <v>20</v>
      </c>
      <c r="O46" s="103"/>
    </row>
    <row r="47" spans="1:15" ht="10.5" customHeight="1" x14ac:dyDescent="0.25">
      <c r="A47" s="115"/>
      <c r="B47" s="135"/>
      <c r="C47" s="139"/>
      <c r="D47" s="112"/>
      <c r="E47" s="139"/>
      <c r="F47" s="188"/>
      <c r="G47" s="35" t="s">
        <v>38</v>
      </c>
      <c r="H47" s="33">
        <f>H45</f>
        <v>2.6548672566371681E-3</v>
      </c>
      <c r="I47" s="186"/>
      <c r="J47" s="33">
        <f>(1-I42)*H47</f>
        <v>1.8584070796460163E-4</v>
      </c>
      <c r="K47" s="175"/>
      <c r="L47" s="97" t="s">
        <v>17</v>
      </c>
      <c r="M47" s="18">
        <f>J47*F41/2000</f>
        <v>0.12265486725663707</v>
      </c>
      <c r="N47" s="174"/>
      <c r="O47" s="103"/>
    </row>
    <row r="48" spans="1:15" ht="10.5" customHeight="1" x14ac:dyDescent="0.25">
      <c r="A48" s="116"/>
      <c r="B48" s="136"/>
      <c r="C48" s="140"/>
      <c r="D48" s="113"/>
      <c r="E48" s="140"/>
      <c r="F48" s="188"/>
      <c r="G48" s="35" t="s">
        <v>39</v>
      </c>
      <c r="H48" s="33">
        <f>H45</f>
        <v>2.6548672566371681E-3</v>
      </c>
      <c r="I48" s="186"/>
      <c r="J48" s="33">
        <f>(1-I42)*H48</f>
        <v>1.8584070796460163E-4</v>
      </c>
      <c r="K48" s="175"/>
      <c r="L48" s="97" t="s">
        <v>17</v>
      </c>
      <c r="M48" s="18">
        <f>J48*F41/2000</f>
        <v>0.12265486725663707</v>
      </c>
      <c r="N48" s="174"/>
      <c r="O48" s="103"/>
    </row>
    <row r="49" spans="1:15" ht="10.5" customHeight="1" x14ac:dyDescent="0.25">
      <c r="A49" s="94" t="s">
        <v>149</v>
      </c>
      <c r="B49" s="91"/>
      <c r="C49" s="91"/>
      <c r="D49" s="81"/>
      <c r="E49" s="91"/>
      <c r="F49" s="14"/>
      <c r="G49" s="9"/>
      <c r="H49" s="15"/>
      <c r="I49" s="15"/>
      <c r="J49" s="15"/>
      <c r="K49" s="81"/>
      <c r="L49" s="85"/>
      <c r="M49" s="88"/>
      <c r="N49" s="81"/>
      <c r="O49" s="103"/>
    </row>
    <row r="50" spans="1:15" ht="10.5" customHeight="1" x14ac:dyDescent="0.25">
      <c r="A50" s="94" t="s">
        <v>106</v>
      </c>
      <c r="B50" s="91"/>
      <c r="C50" s="91"/>
      <c r="D50" s="81"/>
      <c r="E50" s="91"/>
      <c r="F50" s="14"/>
      <c r="G50" s="9"/>
      <c r="H50" s="15"/>
      <c r="I50" s="15"/>
      <c r="J50" s="15"/>
      <c r="K50" s="81"/>
      <c r="L50" s="85"/>
      <c r="M50" s="88"/>
      <c r="N50" s="81"/>
      <c r="O50" s="103"/>
    </row>
    <row r="51" spans="1:15" ht="10.5" customHeight="1" x14ac:dyDescent="0.25">
      <c r="A51" s="94" t="s">
        <v>100</v>
      </c>
      <c r="B51" s="91"/>
      <c r="C51" s="91"/>
      <c r="D51" s="81"/>
      <c r="E51" s="91"/>
      <c r="F51" s="14"/>
      <c r="G51" s="9"/>
      <c r="H51" s="15"/>
      <c r="I51" s="15"/>
      <c r="J51" s="15"/>
      <c r="K51" s="81"/>
      <c r="L51" s="85"/>
      <c r="M51" s="88"/>
      <c r="N51" s="81"/>
      <c r="O51" s="103"/>
    </row>
    <row r="52" spans="1:15" ht="10.5" customHeight="1" x14ac:dyDescent="0.25">
      <c r="A52" s="94" t="s">
        <v>101</v>
      </c>
      <c r="O52" s="103"/>
    </row>
    <row r="53" spans="1:15" ht="10.5" customHeight="1" x14ac:dyDescent="0.25">
      <c r="O53" s="103"/>
    </row>
    <row r="54" spans="1:15" ht="10.5" customHeight="1" x14ac:dyDescent="0.25">
      <c r="A54" s="8" t="s">
        <v>89</v>
      </c>
      <c r="B54" s="2"/>
      <c r="C54" s="2"/>
      <c r="N54" s="81"/>
      <c r="O54" s="103"/>
    </row>
    <row r="55" spans="1:15" ht="10.5" customHeight="1" x14ac:dyDescent="0.25">
      <c r="A55" s="80"/>
      <c r="B55" s="78" t="s">
        <v>25</v>
      </c>
      <c r="C55" s="79" t="s">
        <v>27</v>
      </c>
      <c r="D55" s="78"/>
      <c r="E55" s="80"/>
      <c r="F55" s="78"/>
      <c r="G55" s="80"/>
      <c r="H55" s="78"/>
      <c r="I55" s="80"/>
      <c r="J55" s="78" t="s">
        <v>11</v>
      </c>
      <c r="K55" s="80"/>
      <c r="L55" s="78" t="s">
        <v>5</v>
      </c>
      <c r="M55" s="80" t="s">
        <v>5</v>
      </c>
      <c r="N55" s="78"/>
      <c r="O55" s="103"/>
    </row>
    <row r="56" spans="1:15" ht="10.5" customHeight="1" x14ac:dyDescent="0.25">
      <c r="A56" s="82" t="s">
        <v>19</v>
      </c>
      <c r="B56" s="86" t="s">
        <v>11</v>
      </c>
      <c r="C56" s="82" t="s">
        <v>11</v>
      </c>
      <c r="D56" s="86" t="s">
        <v>2</v>
      </c>
      <c r="E56" s="82" t="s">
        <v>12</v>
      </c>
      <c r="F56" s="86" t="s">
        <v>80</v>
      </c>
      <c r="G56" s="82" t="s">
        <v>6</v>
      </c>
      <c r="H56" s="86" t="s">
        <v>10</v>
      </c>
      <c r="I56" s="82" t="s">
        <v>11</v>
      </c>
      <c r="J56" s="86" t="s">
        <v>10</v>
      </c>
      <c r="K56" s="82" t="s">
        <v>16</v>
      </c>
      <c r="L56" s="86" t="s">
        <v>3</v>
      </c>
      <c r="M56" s="82" t="s">
        <v>4</v>
      </c>
      <c r="N56" s="86" t="s">
        <v>13</v>
      </c>
      <c r="O56" s="103"/>
    </row>
    <row r="57" spans="1:15" ht="10.5" customHeight="1" x14ac:dyDescent="0.25">
      <c r="A57" s="114" t="s">
        <v>126</v>
      </c>
      <c r="B57" s="134" t="s">
        <v>113</v>
      </c>
      <c r="C57" s="127" t="s">
        <v>32</v>
      </c>
      <c r="D57" s="111" t="s">
        <v>1</v>
      </c>
      <c r="E57" s="127" t="s">
        <v>86</v>
      </c>
      <c r="F57" s="187">
        <f>O2</f>
        <v>1320000</v>
      </c>
      <c r="G57" s="96" t="s">
        <v>43</v>
      </c>
      <c r="H57" s="65">
        <v>60000</v>
      </c>
      <c r="I57" s="63" t="s">
        <v>17</v>
      </c>
      <c r="J57" s="71">
        <f>J41</f>
        <v>8.5000000000000006E-3</v>
      </c>
      <c r="K57" s="96" t="s">
        <v>84</v>
      </c>
      <c r="L57" s="100">
        <f>H57*60*J57/7000</f>
        <v>4.3714285714285719</v>
      </c>
      <c r="M57" s="68">
        <f>L57*4.38</f>
        <v>19.146857142857144</v>
      </c>
      <c r="N57" s="98" t="s">
        <v>14</v>
      </c>
    </row>
    <row r="58" spans="1:15" ht="10.5" customHeight="1" x14ac:dyDescent="0.25">
      <c r="A58" s="115"/>
      <c r="B58" s="135"/>
      <c r="C58" s="139"/>
      <c r="D58" s="112"/>
      <c r="E58" s="139"/>
      <c r="F58" s="188"/>
      <c r="G58" s="96" t="s">
        <v>26</v>
      </c>
      <c r="H58" s="19">
        <f>2.5</f>
        <v>2.5</v>
      </c>
      <c r="I58" s="186">
        <f>I42</f>
        <v>0.93</v>
      </c>
      <c r="J58" s="12">
        <f>(1-I58)*H58</f>
        <v>0.17499999999999988</v>
      </c>
      <c r="K58" s="175" t="s">
        <v>134</v>
      </c>
      <c r="L58" s="97" t="s">
        <v>17</v>
      </c>
      <c r="M58" s="31">
        <f>J58*F57/2000</f>
        <v>115.49999999999991</v>
      </c>
      <c r="N58" s="174" t="s">
        <v>15</v>
      </c>
      <c r="O58" s="103"/>
    </row>
    <row r="59" spans="1:15" ht="10.5" customHeight="1" x14ac:dyDescent="0.25">
      <c r="A59" s="115"/>
      <c r="B59" s="135"/>
      <c r="C59" s="139"/>
      <c r="D59" s="112"/>
      <c r="E59" s="139"/>
      <c r="F59" s="188"/>
      <c r="G59" s="35" t="s">
        <v>21</v>
      </c>
      <c r="H59" s="12">
        <f>0.004</f>
        <v>4.0000000000000001E-3</v>
      </c>
      <c r="I59" s="186"/>
      <c r="J59" s="33">
        <f>(1-I58)*H59</f>
        <v>2.7999999999999981E-4</v>
      </c>
      <c r="K59" s="175"/>
      <c r="L59" s="97" t="s">
        <v>17</v>
      </c>
      <c r="M59" s="18">
        <f>J59*F57/2000</f>
        <v>0.18479999999999988</v>
      </c>
      <c r="N59" s="174"/>
      <c r="O59" s="103"/>
    </row>
    <row r="60" spans="1:15" ht="10.5" customHeight="1" x14ac:dyDescent="0.25">
      <c r="A60" s="115"/>
      <c r="B60" s="135"/>
      <c r="C60" s="139"/>
      <c r="D60" s="112"/>
      <c r="E60" s="139"/>
      <c r="F60" s="188"/>
      <c r="G60" s="35" t="s">
        <v>22</v>
      </c>
      <c r="H60" s="12">
        <f>0.008</f>
        <v>8.0000000000000002E-3</v>
      </c>
      <c r="I60" s="186"/>
      <c r="J60" s="33">
        <f>(1-I58)*H60</f>
        <v>5.5999999999999963E-4</v>
      </c>
      <c r="K60" s="175"/>
      <c r="L60" s="97" t="s">
        <v>17</v>
      </c>
      <c r="M60" s="18">
        <f>J60*F57/2000</f>
        <v>0.36959999999999976</v>
      </c>
      <c r="N60" s="174"/>
      <c r="O60" s="103"/>
    </row>
    <row r="61" spans="1:15" ht="10.5" customHeight="1" x14ac:dyDescent="0.25">
      <c r="A61" s="115"/>
      <c r="B61" s="135"/>
      <c r="C61" s="139"/>
      <c r="D61" s="112"/>
      <c r="E61" s="139"/>
      <c r="F61" s="188"/>
      <c r="G61" s="35" t="s">
        <v>23</v>
      </c>
      <c r="H61" s="12">
        <f>0.004</f>
        <v>4.0000000000000001E-3</v>
      </c>
      <c r="I61" s="186"/>
      <c r="J61" s="33">
        <f>(1-I58)*H61</f>
        <v>2.7999999999999981E-4</v>
      </c>
      <c r="K61" s="175"/>
      <c r="L61" s="97" t="s">
        <v>17</v>
      </c>
      <c r="M61" s="18">
        <f>J61*F57/2000</f>
        <v>0.18479999999999988</v>
      </c>
      <c r="N61" s="174"/>
      <c r="O61" s="103"/>
    </row>
    <row r="62" spans="1:15" ht="10.5" customHeight="1" x14ac:dyDescent="0.25">
      <c r="A62" s="115"/>
      <c r="B62" s="135"/>
      <c r="C62" s="139"/>
      <c r="D62" s="112"/>
      <c r="E62" s="139"/>
      <c r="F62" s="188"/>
      <c r="G62" s="35" t="s">
        <v>37</v>
      </c>
      <c r="H62" s="33">
        <f>0.0018</f>
        <v>1.8E-3</v>
      </c>
      <c r="I62" s="186"/>
      <c r="J62" s="33">
        <f>(1-I58)*H62</f>
        <v>1.2599999999999992E-4</v>
      </c>
      <c r="K62" s="175"/>
      <c r="L62" s="97" t="s">
        <v>17</v>
      </c>
      <c r="M62" s="18">
        <f>J62*F57/2000</f>
        <v>8.3159999999999942E-2</v>
      </c>
      <c r="N62" s="174" t="s">
        <v>20</v>
      </c>
      <c r="O62" s="103"/>
    </row>
    <row r="63" spans="1:15" ht="10.5" customHeight="1" x14ac:dyDescent="0.25">
      <c r="A63" s="115"/>
      <c r="B63" s="135"/>
      <c r="C63" s="139"/>
      <c r="D63" s="112"/>
      <c r="E63" s="139"/>
      <c r="F63" s="188"/>
      <c r="G63" s="35" t="s">
        <v>38</v>
      </c>
      <c r="H63" s="33">
        <f>0.0033</f>
        <v>3.3E-3</v>
      </c>
      <c r="I63" s="186"/>
      <c r="J63" s="33">
        <f>(1-I58)*H63</f>
        <v>2.3099999999999984E-4</v>
      </c>
      <c r="K63" s="175"/>
      <c r="L63" s="97" t="s">
        <v>17</v>
      </c>
      <c r="M63" s="18">
        <f>J63*F57/2000</f>
        <v>0.1524599999999999</v>
      </c>
      <c r="N63" s="174"/>
      <c r="O63" s="103"/>
    </row>
    <row r="64" spans="1:15" ht="10.5" customHeight="1" x14ac:dyDescent="0.25">
      <c r="A64" s="116"/>
      <c r="B64" s="136"/>
      <c r="C64" s="140"/>
      <c r="D64" s="113"/>
      <c r="E64" s="140"/>
      <c r="F64" s="189"/>
      <c r="G64" s="35" t="s">
        <v>39</v>
      </c>
      <c r="H64" s="33">
        <f>0.00036</f>
        <v>3.6000000000000002E-4</v>
      </c>
      <c r="I64" s="186"/>
      <c r="J64" s="33">
        <f>(1-I58)*H64</f>
        <v>2.5199999999999982E-5</v>
      </c>
      <c r="K64" s="175"/>
      <c r="L64" s="97" t="s">
        <v>17</v>
      </c>
      <c r="M64" s="18">
        <f>J64*F57/2000</f>
        <v>1.6631999999999987E-2</v>
      </c>
      <c r="N64" s="174"/>
      <c r="O64" s="103"/>
    </row>
    <row r="65" spans="1:15" ht="10.5" customHeight="1" x14ac:dyDescent="0.25">
      <c r="A65" s="94" t="s">
        <v>149</v>
      </c>
      <c r="B65" s="91"/>
      <c r="C65" s="91"/>
      <c r="D65" s="81"/>
      <c r="E65" s="91"/>
      <c r="F65" s="14"/>
      <c r="G65" s="9"/>
      <c r="H65" s="15"/>
      <c r="I65" s="15"/>
      <c r="J65" s="15"/>
      <c r="K65" s="81"/>
      <c r="L65" s="85"/>
      <c r="M65" s="88"/>
      <c r="N65" s="81"/>
      <c r="O65" s="103"/>
    </row>
    <row r="66" spans="1:15" ht="10.5" customHeight="1" x14ac:dyDescent="0.25">
      <c r="A66" s="94" t="s">
        <v>96</v>
      </c>
      <c r="B66" s="91"/>
      <c r="C66" s="91"/>
      <c r="D66" s="81"/>
      <c r="E66" s="91"/>
      <c r="F66" s="14"/>
      <c r="H66" s="15"/>
      <c r="I66" s="15"/>
      <c r="J66" s="15"/>
      <c r="K66" s="81"/>
      <c r="L66" s="85"/>
      <c r="M66" s="88"/>
      <c r="N66" s="81"/>
      <c r="O66" s="103"/>
    </row>
    <row r="67" spans="1:15" ht="10.5" customHeight="1" x14ac:dyDescent="0.25">
      <c r="A67" s="94" t="s">
        <v>56</v>
      </c>
      <c r="B67" s="91"/>
      <c r="C67" s="91"/>
      <c r="D67" s="81"/>
      <c r="E67" s="91"/>
      <c r="F67" s="14"/>
      <c r="G67" s="9"/>
      <c r="H67" s="15"/>
      <c r="I67" s="15"/>
      <c r="J67" s="15"/>
      <c r="K67" s="81"/>
      <c r="L67" s="85"/>
      <c r="M67" s="88"/>
      <c r="N67" s="81"/>
      <c r="O67" s="103"/>
    </row>
    <row r="68" spans="1:15" ht="10.5" customHeight="1" x14ac:dyDescent="0.25">
      <c r="B68" s="91"/>
      <c r="C68" s="91"/>
      <c r="D68" s="81"/>
      <c r="E68" s="91"/>
      <c r="F68" s="14"/>
      <c r="G68" s="9"/>
      <c r="H68" s="15"/>
      <c r="I68" s="15"/>
      <c r="J68" s="15"/>
      <c r="K68" s="81"/>
      <c r="L68" s="85"/>
      <c r="M68" s="88"/>
      <c r="N68" s="81"/>
      <c r="O68" s="103"/>
    </row>
    <row r="69" spans="1:15" ht="10.5" customHeight="1" x14ac:dyDescent="0.25">
      <c r="A69" s="8" t="s">
        <v>90</v>
      </c>
      <c r="B69" s="2"/>
      <c r="C69" s="2"/>
      <c r="N69" s="81"/>
      <c r="O69" s="103"/>
    </row>
    <row r="70" spans="1:15" ht="10.5" customHeight="1" x14ac:dyDescent="0.25">
      <c r="A70" s="80"/>
      <c r="B70" s="78" t="s">
        <v>25</v>
      </c>
      <c r="C70" s="79" t="s">
        <v>27</v>
      </c>
      <c r="D70" s="78"/>
      <c r="E70" s="80"/>
      <c r="F70" s="78"/>
      <c r="G70" s="80"/>
      <c r="H70" s="78"/>
      <c r="I70" s="80"/>
      <c r="J70" s="78" t="s">
        <v>11</v>
      </c>
      <c r="K70" s="80"/>
      <c r="L70" s="78" t="s">
        <v>5</v>
      </c>
      <c r="M70" s="80" t="s">
        <v>5</v>
      </c>
      <c r="N70" s="78"/>
      <c r="O70" s="103"/>
    </row>
    <row r="71" spans="1:15" ht="10.5" customHeight="1" x14ac:dyDescent="0.25">
      <c r="A71" s="82" t="s">
        <v>19</v>
      </c>
      <c r="B71" s="86" t="s">
        <v>11</v>
      </c>
      <c r="C71" s="82" t="s">
        <v>11</v>
      </c>
      <c r="D71" s="86" t="s">
        <v>2</v>
      </c>
      <c r="E71" s="82" t="s">
        <v>12</v>
      </c>
      <c r="F71" s="86" t="s">
        <v>80</v>
      </c>
      <c r="G71" s="82" t="s">
        <v>6</v>
      </c>
      <c r="H71" s="86" t="s">
        <v>10</v>
      </c>
      <c r="I71" s="82" t="s">
        <v>11</v>
      </c>
      <c r="J71" s="86" t="s">
        <v>10</v>
      </c>
      <c r="K71" s="82" t="s">
        <v>16</v>
      </c>
      <c r="L71" s="86" t="s">
        <v>3</v>
      </c>
      <c r="M71" s="82" t="s">
        <v>4</v>
      </c>
      <c r="N71" s="86" t="s">
        <v>13</v>
      </c>
      <c r="O71" s="103"/>
    </row>
    <row r="72" spans="1:15" ht="10.5" customHeight="1" x14ac:dyDescent="0.25">
      <c r="A72" s="114" t="s">
        <v>125</v>
      </c>
      <c r="B72" s="134" t="s">
        <v>128</v>
      </c>
      <c r="C72" s="127" t="s">
        <v>32</v>
      </c>
      <c r="D72" s="111" t="s">
        <v>1</v>
      </c>
      <c r="E72" s="127" t="s">
        <v>87</v>
      </c>
      <c r="F72" s="187">
        <f>O2</f>
        <v>1320000</v>
      </c>
      <c r="G72" s="96" t="s">
        <v>43</v>
      </c>
      <c r="H72" s="65">
        <v>240000</v>
      </c>
      <c r="I72" s="63" t="s">
        <v>17</v>
      </c>
      <c r="J72" s="71">
        <f>J57</f>
        <v>8.5000000000000006E-3</v>
      </c>
      <c r="K72" s="96" t="s">
        <v>84</v>
      </c>
      <c r="L72" s="19">
        <f>H72*60*J72/7000</f>
        <v>17.485714285714288</v>
      </c>
      <c r="M72" s="68">
        <f>L72*4.38</f>
        <v>76.587428571428575</v>
      </c>
      <c r="N72" s="98" t="s">
        <v>14</v>
      </c>
      <c r="O72" s="103"/>
    </row>
    <row r="73" spans="1:15" ht="10.5" customHeight="1" x14ac:dyDescent="0.25">
      <c r="A73" s="115"/>
      <c r="B73" s="135"/>
      <c r="C73" s="139"/>
      <c r="D73" s="112"/>
      <c r="E73" s="139"/>
      <c r="F73" s="188"/>
      <c r="G73" s="96" t="s">
        <v>26</v>
      </c>
      <c r="H73" s="19">
        <f>0.5</f>
        <v>0.5</v>
      </c>
      <c r="I73" s="186">
        <f>I58</f>
        <v>0.93</v>
      </c>
      <c r="J73" s="12">
        <f>(1-I73)*H73</f>
        <v>3.4999999999999976E-2</v>
      </c>
      <c r="K73" s="175" t="s">
        <v>134</v>
      </c>
      <c r="L73" s="97" t="s">
        <v>17</v>
      </c>
      <c r="M73" s="68">
        <f>J73*F72/2000</f>
        <v>23.099999999999987</v>
      </c>
      <c r="N73" s="174" t="s">
        <v>15</v>
      </c>
      <c r="O73" s="103"/>
    </row>
    <row r="74" spans="1:15" ht="10.5" customHeight="1" x14ac:dyDescent="0.25">
      <c r="A74" s="115"/>
      <c r="B74" s="135"/>
      <c r="C74" s="139"/>
      <c r="D74" s="112"/>
      <c r="E74" s="139"/>
      <c r="F74" s="188"/>
      <c r="G74" s="35" t="s">
        <v>21</v>
      </c>
      <c r="H74" s="12">
        <v>1E-3</v>
      </c>
      <c r="I74" s="186"/>
      <c r="J74" s="33">
        <f>(1-I73)*H74</f>
        <v>6.9999999999999953E-5</v>
      </c>
      <c r="K74" s="175"/>
      <c r="L74" s="97" t="s">
        <v>17</v>
      </c>
      <c r="M74" s="18">
        <f>J74*F72/2000</f>
        <v>4.619999999999997E-2</v>
      </c>
      <c r="N74" s="174"/>
      <c r="O74" s="103"/>
    </row>
    <row r="75" spans="1:15" ht="10.5" customHeight="1" x14ac:dyDescent="0.25">
      <c r="A75" s="115"/>
      <c r="B75" s="135"/>
      <c r="C75" s="139"/>
      <c r="D75" s="112"/>
      <c r="E75" s="139"/>
      <c r="F75" s="188"/>
      <c r="G75" s="35" t="s">
        <v>22</v>
      </c>
      <c r="H75" s="12">
        <v>2E-3</v>
      </c>
      <c r="I75" s="186"/>
      <c r="J75" s="33">
        <f>(1-I73)*H75</f>
        <v>1.3999999999999991E-4</v>
      </c>
      <c r="K75" s="175"/>
      <c r="L75" s="97" t="s">
        <v>17</v>
      </c>
      <c r="M75" s="18">
        <f>J75*F72/2000</f>
        <v>9.2399999999999941E-2</v>
      </c>
      <c r="N75" s="174"/>
      <c r="O75" s="103"/>
    </row>
    <row r="76" spans="1:15" ht="10.5" customHeight="1" x14ac:dyDescent="0.25">
      <c r="A76" s="115"/>
      <c r="B76" s="135"/>
      <c r="C76" s="139"/>
      <c r="D76" s="112"/>
      <c r="E76" s="139"/>
      <c r="F76" s="188"/>
      <c r="G76" s="35" t="s">
        <v>23</v>
      </c>
      <c r="H76" s="12">
        <v>1E-3</v>
      </c>
      <c r="I76" s="186"/>
      <c r="J76" s="33">
        <f>(1-I73)*H76</f>
        <v>6.9999999999999953E-5</v>
      </c>
      <c r="K76" s="175"/>
      <c r="L76" s="97" t="s">
        <v>17</v>
      </c>
      <c r="M76" s="18">
        <f>J76*F72/2000</f>
        <v>4.619999999999997E-2</v>
      </c>
      <c r="N76" s="174"/>
      <c r="O76" s="103"/>
    </row>
    <row r="77" spans="1:15" ht="10.5" customHeight="1" x14ac:dyDescent="0.25">
      <c r="A77" s="115"/>
      <c r="B77" s="135"/>
      <c r="C77" s="139"/>
      <c r="D77" s="112"/>
      <c r="E77" s="139"/>
      <c r="F77" s="188"/>
      <c r="G77" s="35" t="s">
        <v>37</v>
      </c>
      <c r="H77" s="33">
        <f>0.00777</f>
        <v>7.77E-3</v>
      </c>
      <c r="I77" s="186"/>
      <c r="J77" s="33">
        <f>(1-I73)*H77</f>
        <v>5.4389999999999961E-4</v>
      </c>
      <c r="K77" s="175"/>
      <c r="L77" s="97" t="s">
        <v>17</v>
      </c>
      <c r="M77" s="18">
        <f>J77*F72/2000</f>
        <v>0.35897399999999974</v>
      </c>
      <c r="N77" s="174" t="s">
        <v>20</v>
      </c>
      <c r="O77" s="103"/>
    </row>
    <row r="78" spans="1:15" ht="10.5" customHeight="1" x14ac:dyDescent="0.25">
      <c r="A78" s="115"/>
      <c r="B78" s="135"/>
      <c r="C78" s="139"/>
      <c r="D78" s="112"/>
      <c r="E78" s="139"/>
      <c r="F78" s="188"/>
      <c r="G78" s="35" t="s">
        <v>38</v>
      </c>
      <c r="H78" s="33">
        <f>0.00297</f>
        <v>2.97E-3</v>
      </c>
      <c r="I78" s="186"/>
      <c r="J78" s="33">
        <f>(1-I73)*H78</f>
        <v>2.0789999999999985E-4</v>
      </c>
      <c r="K78" s="175"/>
      <c r="L78" s="97" t="s">
        <v>17</v>
      </c>
      <c r="M78" s="18">
        <f>J78*F72/2000</f>
        <v>0.13721399999999992</v>
      </c>
      <c r="N78" s="174"/>
      <c r="O78" s="103"/>
    </row>
    <row r="79" spans="1:15" ht="10.5" customHeight="1" x14ac:dyDescent="0.25">
      <c r="A79" s="116"/>
      <c r="B79" s="136"/>
      <c r="C79" s="140"/>
      <c r="D79" s="113"/>
      <c r="E79" s="140"/>
      <c r="F79" s="189"/>
      <c r="G79" s="35" t="s">
        <v>39</v>
      </c>
      <c r="H79" s="33">
        <f>0.00062</f>
        <v>6.2E-4</v>
      </c>
      <c r="I79" s="186"/>
      <c r="J79" s="33">
        <f>(1-I73)*H79</f>
        <v>4.3399999999999971E-5</v>
      </c>
      <c r="K79" s="175"/>
      <c r="L79" s="97" t="s">
        <v>17</v>
      </c>
      <c r="M79" s="18">
        <f>J79*F72/2000</f>
        <v>2.8643999999999982E-2</v>
      </c>
      <c r="N79" s="174"/>
      <c r="O79" s="103"/>
    </row>
    <row r="80" spans="1:15" ht="10.5" customHeight="1" x14ac:dyDescent="0.25">
      <c r="A80" s="94" t="s">
        <v>149</v>
      </c>
      <c r="B80" s="91"/>
      <c r="C80" s="91"/>
      <c r="D80" s="81"/>
      <c r="E80" s="91"/>
      <c r="F80" s="14"/>
      <c r="G80" s="9"/>
      <c r="H80" s="15"/>
      <c r="I80" s="15"/>
      <c r="J80" s="15"/>
      <c r="K80" s="81"/>
      <c r="L80" s="85"/>
      <c r="M80" s="88"/>
      <c r="N80" s="81"/>
      <c r="O80" s="103"/>
    </row>
    <row r="81" spans="1:15" ht="10.5" customHeight="1" x14ac:dyDescent="0.25">
      <c r="A81" s="94" t="s">
        <v>96</v>
      </c>
      <c r="B81" s="91"/>
      <c r="C81" s="91"/>
      <c r="D81" s="81"/>
      <c r="E81" s="91"/>
      <c r="F81" s="14"/>
      <c r="G81" s="9"/>
      <c r="H81" s="15"/>
      <c r="I81" s="15"/>
      <c r="J81" s="15"/>
      <c r="K81" s="81"/>
      <c r="L81" s="85"/>
      <c r="M81" s="88"/>
      <c r="N81" s="81"/>
      <c r="O81" s="103"/>
    </row>
    <row r="82" spans="1:15" ht="10.5" customHeight="1" x14ac:dyDescent="0.25">
      <c r="A82" s="94" t="s">
        <v>56</v>
      </c>
      <c r="B82" s="91"/>
      <c r="C82" s="91"/>
      <c r="D82" s="81"/>
      <c r="E82" s="91"/>
      <c r="F82" s="14"/>
      <c r="G82" s="9"/>
      <c r="H82" s="15"/>
      <c r="I82" s="15"/>
      <c r="J82" s="15"/>
      <c r="K82" s="81"/>
      <c r="L82" s="85"/>
      <c r="M82" s="88"/>
      <c r="O82" s="103"/>
    </row>
    <row r="83" spans="1:15" ht="10.5" customHeight="1" x14ac:dyDescent="0.25">
      <c r="B83" s="91"/>
      <c r="C83" s="91"/>
      <c r="D83" s="81"/>
      <c r="E83" s="91"/>
      <c r="F83" s="14"/>
      <c r="G83" s="9"/>
      <c r="H83" s="15"/>
      <c r="I83" s="15"/>
      <c r="J83" s="15"/>
      <c r="K83" s="81"/>
      <c r="L83" s="85"/>
      <c r="M83" s="88"/>
      <c r="O83" s="103"/>
    </row>
    <row r="84" spans="1:15" ht="10.5" customHeight="1" x14ac:dyDescent="0.25">
      <c r="A84" s="2" t="s">
        <v>107</v>
      </c>
      <c r="B84" s="2"/>
      <c r="C84" s="2"/>
      <c r="N84" s="82"/>
      <c r="O84" s="103"/>
    </row>
    <row r="85" spans="1:15" ht="10.5" customHeight="1" x14ac:dyDescent="0.25">
      <c r="A85" s="80"/>
      <c r="B85" s="78" t="s">
        <v>25</v>
      </c>
      <c r="C85" s="79" t="s">
        <v>27</v>
      </c>
      <c r="D85" s="78"/>
      <c r="E85" s="80"/>
      <c r="F85" s="78"/>
      <c r="G85" s="80"/>
      <c r="H85" s="78"/>
      <c r="I85" s="80"/>
      <c r="J85" s="78" t="s">
        <v>11</v>
      </c>
      <c r="K85" s="80"/>
      <c r="L85" s="78" t="s">
        <v>5</v>
      </c>
      <c r="M85" s="80" t="s">
        <v>5</v>
      </c>
      <c r="N85" s="83"/>
    </row>
    <row r="86" spans="1:15" ht="10.5" customHeight="1" x14ac:dyDescent="0.25">
      <c r="A86" s="82" t="s">
        <v>19</v>
      </c>
      <c r="B86" s="86" t="s">
        <v>11</v>
      </c>
      <c r="C86" s="82" t="s">
        <v>11</v>
      </c>
      <c r="D86" s="86" t="s">
        <v>2</v>
      </c>
      <c r="E86" s="82" t="s">
        <v>12</v>
      </c>
      <c r="F86" s="86" t="s">
        <v>80</v>
      </c>
      <c r="G86" s="82" t="s">
        <v>6</v>
      </c>
      <c r="H86" s="86" t="s">
        <v>10</v>
      </c>
      <c r="I86" s="82" t="s">
        <v>11</v>
      </c>
      <c r="J86" s="86" t="s">
        <v>10</v>
      </c>
      <c r="K86" s="82" t="s">
        <v>16</v>
      </c>
      <c r="L86" s="86" t="s">
        <v>3</v>
      </c>
      <c r="M86" s="82" t="s">
        <v>4</v>
      </c>
      <c r="N86" s="86" t="s">
        <v>13</v>
      </c>
    </row>
    <row r="87" spans="1:15" ht="10.5" customHeight="1" x14ac:dyDescent="0.25">
      <c r="A87" s="114" t="s">
        <v>124</v>
      </c>
      <c r="B87" s="134" t="s">
        <v>17</v>
      </c>
      <c r="C87" s="128" t="s">
        <v>17</v>
      </c>
      <c r="D87" s="123" t="s">
        <v>17</v>
      </c>
      <c r="E87" s="114" t="s">
        <v>85</v>
      </c>
      <c r="F87" s="187">
        <f>O2</f>
        <v>1320000</v>
      </c>
      <c r="G87" s="96" t="s">
        <v>43</v>
      </c>
      <c r="H87" s="65">
        <v>10000</v>
      </c>
      <c r="I87" s="63" t="s">
        <v>17</v>
      </c>
      <c r="J87" s="71">
        <f>J57</f>
        <v>8.5000000000000006E-3</v>
      </c>
      <c r="K87" s="96" t="s">
        <v>84</v>
      </c>
      <c r="L87" s="100">
        <f>H87*60*J87/7000</f>
        <v>0.72857142857142854</v>
      </c>
      <c r="M87" s="18">
        <f>L87*4.38</f>
        <v>3.1911428571428568</v>
      </c>
      <c r="N87" s="98" t="s">
        <v>14</v>
      </c>
      <c r="O87" s="94">
        <v>10000</v>
      </c>
    </row>
    <row r="88" spans="1:15" ht="10.5" customHeight="1" x14ac:dyDescent="0.25">
      <c r="A88" s="115"/>
      <c r="B88" s="135"/>
      <c r="C88" s="129"/>
      <c r="D88" s="137"/>
      <c r="E88" s="115"/>
      <c r="F88" s="188"/>
      <c r="G88" s="96" t="s">
        <v>26</v>
      </c>
      <c r="H88" s="12">
        <f>0.12/41.21</f>
        <v>2.9119145838388738E-3</v>
      </c>
      <c r="I88" s="183" t="s">
        <v>17</v>
      </c>
      <c r="J88" s="190" t="s">
        <v>17</v>
      </c>
      <c r="K88" s="175" t="s">
        <v>134</v>
      </c>
      <c r="L88" s="173" t="s">
        <v>17</v>
      </c>
      <c r="M88" s="18">
        <f>H88*F87/2000</f>
        <v>1.9218636253336567</v>
      </c>
      <c r="N88" s="174" t="s">
        <v>15</v>
      </c>
    </row>
    <row r="89" spans="1:15" ht="10.5" customHeight="1" x14ac:dyDescent="0.25">
      <c r="A89" s="115"/>
      <c r="B89" s="135"/>
      <c r="C89" s="129"/>
      <c r="D89" s="137"/>
      <c r="E89" s="115"/>
      <c r="F89" s="188"/>
      <c r="G89" s="35" t="s">
        <v>21</v>
      </c>
      <c r="H89" s="33">
        <f>0.002/41.2</f>
        <v>4.8543689320388346E-5</v>
      </c>
      <c r="I89" s="175"/>
      <c r="J89" s="174"/>
      <c r="K89" s="175"/>
      <c r="L89" s="173"/>
      <c r="M89" s="18">
        <f>H89*F87/2000</f>
        <v>3.2038834951456312E-2</v>
      </c>
      <c r="N89" s="174"/>
    </row>
    <row r="90" spans="1:15" ht="10.5" customHeight="1" x14ac:dyDescent="0.25">
      <c r="A90" s="115"/>
      <c r="B90" s="135"/>
      <c r="C90" s="129"/>
      <c r="D90" s="137"/>
      <c r="E90" s="115"/>
      <c r="F90" s="188"/>
      <c r="G90" s="35" t="s">
        <v>22</v>
      </c>
      <c r="H90" s="33">
        <f>0.002/41.2</f>
        <v>4.8543689320388346E-5</v>
      </c>
      <c r="I90" s="175"/>
      <c r="J90" s="174"/>
      <c r="K90" s="175"/>
      <c r="L90" s="173"/>
      <c r="M90" s="18">
        <f>H90*F87/2000</f>
        <v>3.2038834951456312E-2</v>
      </c>
      <c r="N90" s="174"/>
    </row>
    <row r="91" spans="1:15" ht="10.5" customHeight="1" x14ac:dyDescent="0.25">
      <c r="A91" s="116"/>
      <c r="B91" s="136"/>
      <c r="C91" s="130"/>
      <c r="D91" s="138"/>
      <c r="E91" s="116"/>
      <c r="F91" s="189"/>
      <c r="G91" s="35" t="s">
        <v>23</v>
      </c>
      <c r="H91" s="33">
        <f>0.01/41.2</f>
        <v>2.4271844660194174E-4</v>
      </c>
      <c r="I91" s="175"/>
      <c r="J91" s="174"/>
      <c r="K91" s="175"/>
      <c r="L91" s="173"/>
      <c r="M91" s="18">
        <f>H91*F87/2000</f>
        <v>0.16019417475728157</v>
      </c>
      <c r="N91" s="174"/>
    </row>
    <row r="92" spans="1:15" ht="10.5" customHeight="1" x14ac:dyDescent="0.25">
      <c r="A92" s="94" t="s">
        <v>149</v>
      </c>
      <c r="B92" s="92"/>
      <c r="C92" s="92"/>
      <c r="D92" s="84"/>
      <c r="E92" s="80"/>
      <c r="F92" s="28"/>
      <c r="G92" s="25"/>
      <c r="H92" s="29"/>
      <c r="I92" s="29"/>
      <c r="J92" s="29"/>
      <c r="K92" s="80"/>
      <c r="L92" s="30"/>
      <c r="M92" s="10"/>
      <c r="N92" s="80"/>
    </row>
    <row r="93" spans="1:15" ht="10.5" customHeight="1" x14ac:dyDescent="0.25">
      <c r="A93" s="94" t="s">
        <v>82</v>
      </c>
      <c r="F93" s="3"/>
      <c r="G93" s="5"/>
      <c r="H93" s="6"/>
      <c r="I93" s="6"/>
      <c r="J93" s="6"/>
      <c r="L93" s="7"/>
      <c r="M93" s="4"/>
    </row>
    <row r="94" spans="1:15" ht="10.5" customHeight="1" x14ac:dyDescent="0.25">
      <c r="A94" s="94" t="s">
        <v>54</v>
      </c>
      <c r="F94" s="3"/>
      <c r="G94" s="5"/>
      <c r="H94" s="6"/>
      <c r="I94" s="6"/>
      <c r="J94" s="6"/>
      <c r="L94" s="7"/>
      <c r="M94" s="4"/>
    </row>
    <row r="95" spans="1:15" ht="10.5" customHeight="1" x14ac:dyDescent="0.25">
      <c r="F95" s="3"/>
      <c r="G95" s="5"/>
      <c r="H95" s="6"/>
      <c r="I95" s="6"/>
      <c r="J95" s="6"/>
      <c r="L95" s="7"/>
      <c r="M95" s="4"/>
    </row>
    <row r="96" spans="1:15" ht="10.5" customHeight="1" x14ac:dyDescent="0.25">
      <c r="A96" s="2" t="s">
        <v>119</v>
      </c>
      <c r="B96" s="2"/>
      <c r="C96" s="2"/>
      <c r="N96" s="81"/>
    </row>
    <row r="97" spans="1:15" ht="10.5" customHeight="1" x14ac:dyDescent="0.25">
      <c r="A97" s="80"/>
      <c r="B97" s="78" t="s">
        <v>25</v>
      </c>
      <c r="C97" s="79" t="s">
        <v>27</v>
      </c>
      <c r="D97" s="78"/>
      <c r="E97" s="80"/>
      <c r="F97" s="78"/>
      <c r="G97" s="80"/>
      <c r="H97" s="78"/>
      <c r="I97" s="80"/>
      <c r="J97" s="78" t="s">
        <v>11</v>
      </c>
      <c r="K97" s="80"/>
      <c r="L97" s="78" t="s">
        <v>5</v>
      </c>
      <c r="M97" s="80" t="s">
        <v>5</v>
      </c>
      <c r="N97" s="78"/>
    </row>
    <row r="98" spans="1:15" ht="10.5" customHeight="1" x14ac:dyDescent="0.25">
      <c r="A98" s="82" t="s">
        <v>19</v>
      </c>
      <c r="B98" s="86" t="s">
        <v>11</v>
      </c>
      <c r="C98" s="82" t="s">
        <v>11</v>
      </c>
      <c r="D98" s="86" t="s">
        <v>2</v>
      </c>
      <c r="E98" s="82" t="s">
        <v>12</v>
      </c>
      <c r="F98" s="86" t="s">
        <v>80</v>
      </c>
      <c r="G98" s="82" t="s">
        <v>6</v>
      </c>
      <c r="H98" s="86" t="s">
        <v>10</v>
      </c>
      <c r="I98" s="82" t="s">
        <v>11</v>
      </c>
      <c r="J98" s="86" t="s">
        <v>10</v>
      </c>
      <c r="K98" s="82" t="s">
        <v>16</v>
      </c>
      <c r="L98" s="86" t="s">
        <v>3</v>
      </c>
      <c r="M98" s="82" t="s">
        <v>4</v>
      </c>
      <c r="N98" s="86" t="s">
        <v>13</v>
      </c>
    </row>
    <row r="99" spans="1:15" ht="10.5" customHeight="1" x14ac:dyDescent="0.25">
      <c r="A99" s="114" t="s">
        <v>120</v>
      </c>
      <c r="B99" s="123" t="s">
        <v>17</v>
      </c>
      <c r="C99" s="125" t="s">
        <v>17</v>
      </c>
      <c r="D99" s="111" t="s">
        <v>121</v>
      </c>
      <c r="E99" s="127" t="s">
        <v>130</v>
      </c>
      <c r="F99" s="191">
        <v>25</v>
      </c>
      <c r="G99" s="96" t="s">
        <v>7</v>
      </c>
      <c r="H99" s="19">
        <f>100/1000</f>
        <v>0.1</v>
      </c>
      <c r="I99" s="194" t="s">
        <v>17</v>
      </c>
      <c r="J99" s="184" t="s">
        <v>17</v>
      </c>
      <c r="K99" s="175" t="s">
        <v>33</v>
      </c>
      <c r="L99" s="97" t="s">
        <v>17</v>
      </c>
      <c r="M99" s="68">
        <f>O99*H99*8760/2000</f>
        <v>10.95</v>
      </c>
      <c r="N99" s="174" t="s">
        <v>14</v>
      </c>
      <c r="O99" s="94">
        <v>25</v>
      </c>
    </row>
    <row r="100" spans="1:15" ht="10.5" customHeight="1" x14ac:dyDescent="0.25">
      <c r="A100" s="115"/>
      <c r="B100" s="112"/>
      <c r="C100" s="115"/>
      <c r="D100" s="112"/>
      <c r="E100" s="115"/>
      <c r="F100" s="192"/>
      <c r="G100" s="96" t="s">
        <v>8</v>
      </c>
      <c r="H100" s="12">
        <f>84/1000</f>
        <v>8.4000000000000005E-2</v>
      </c>
      <c r="I100" s="194"/>
      <c r="J100" s="184"/>
      <c r="K100" s="175"/>
      <c r="L100" s="97" t="s">
        <v>17</v>
      </c>
      <c r="M100" s="18">
        <f>O99*H100*8760/2000</f>
        <v>9.1980000000000004</v>
      </c>
      <c r="N100" s="174"/>
    </row>
    <row r="101" spans="1:15" ht="10.5" customHeight="1" x14ac:dyDescent="0.25">
      <c r="A101" s="115"/>
      <c r="B101" s="112"/>
      <c r="C101" s="115"/>
      <c r="D101" s="112"/>
      <c r="E101" s="115"/>
      <c r="F101" s="192"/>
      <c r="G101" s="96" t="s">
        <v>9</v>
      </c>
      <c r="H101" s="71">
        <f>0.6/1000</f>
        <v>5.9999999999999995E-4</v>
      </c>
      <c r="I101" s="194"/>
      <c r="J101" s="184"/>
      <c r="K101" s="175"/>
      <c r="L101" s="97" t="s">
        <v>17</v>
      </c>
      <c r="M101" s="18">
        <f>O99*H101*8760/2000</f>
        <v>6.5700000000000008E-2</v>
      </c>
      <c r="N101" s="174"/>
    </row>
    <row r="102" spans="1:15" ht="10.5" customHeight="1" x14ac:dyDescent="0.25">
      <c r="A102" s="115"/>
      <c r="B102" s="112"/>
      <c r="C102" s="115"/>
      <c r="D102" s="112"/>
      <c r="E102" s="115"/>
      <c r="F102" s="192"/>
      <c r="G102" s="96" t="s">
        <v>43</v>
      </c>
      <c r="H102" s="72">
        <f>7.6/1000</f>
        <v>7.6E-3</v>
      </c>
      <c r="I102" s="194"/>
      <c r="J102" s="184"/>
      <c r="K102" s="175"/>
      <c r="L102" s="100">
        <f>M102/4.38</f>
        <v>0.19000000000000003</v>
      </c>
      <c r="M102" s="18">
        <f>O99*H102*8760/2000</f>
        <v>0.83220000000000005</v>
      </c>
      <c r="N102" s="174"/>
    </row>
    <row r="103" spans="1:15" ht="10.5" customHeight="1" x14ac:dyDescent="0.25">
      <c r="A103" s="116"/>
      <c r="B103" s="113"/>
      <c r="C103" s="116"/>
      <c r="D103" s="113"/>
      <c r="E103" s="116"/>
      <c r="F103" s="193"/>
      <c r="G103" s="96" t="s">
        <v>26</v>
      </c>
      <c r="H103" s="71">
        <f>5.5/1000</f>
        <v>5.4999999999999997E-3</v>
      </c>
      <c r="I103" s="194"/>
      <c r="J103" s="184"/>
      <c r="K103" s="175"/>
      <c r="L103" s="97" t="s">
        <v>17</v>
      </c>
      <c r="M103" s="18">
        <f>O99*H103*8760/2000</f>
        <v>0.60224999999999984</v>
      </c>
      <c r="N103" s="174"/>
    </row>
    <row r="104" spans="1:15" ht="10.5" customHeight="1" x14ac:dyDescent="0.25">
      <c r="A104" s="94" t="s">
        <v>129</v>
      </c>
    </row>
    <row r="106" spans="1:15" ht="10.5" customHeight="1" x14ac:dyDescent="0.25">
      <c r="A106" s="8" t="s">
        <v>135</v>
      </c>
      <c r="B106" s="2"/>
      <c r="C106" s="2"/>
      <c r="N106" s="81"/>
    </row>
    <row r="107" spans="1:15" ht="10.5" customHeight="1" x14ac:dyDescent="0.25">
      <c r="A107" s="80"/>
      <c r="B107" s="78" t="s">
        <v>25</v>
      </c>
      <c r="C107" s="79" t="s">
        <v>27</v>
      </c>
      <c r="D107" s="78"/>
      <c r="E107" s="127"/>
      <c r="F107" s="127"/>
      <c r="G107" s="127"/>
      <c r="H107" s="78"/>
      <c r="I107" s="80"/>
      <c r="J107" s="78" t="s">
        <v>11</v>
      </c>
      <c r="K107" s="80"/>
      <c r="L107" s="78" t="s">
        <v>5</v>
      </c>
      <c r="M107" s="80" t="s">
        <v>5</v>
      </c>
      <c r="N107" s="78"/>
    </row>
    <row r="108" spans="1:15" ht="10.5" customHeight="1" x14ac:dyDescent="0.25">
      <c r="A108" s="82" t="s">
        <v>19</v>
      </c>
      <c r="B108" s="86" t="s">
        <v>11</v>
      </c>
      <c r="C108" s="82" t="s">
        <v>11</v>
      </c>
      <c r="D108" s="86" t="s">
        <v>2</v>
      </c>
      <c r="E108" s="140" t="s">
        <v>12</v>
      </c>
      <c r="F108" s="166"/>
      <c r="G108" s="166"/>
      <c r="H108" s="86" t="s">
        <v>10</v>
      </c>
      <c r="I108" s="82" t="s">
        <v>11</v>
      </c>
      <c r="J108" s="86" t="s">
        <v>10</v>
      </c>
      <c r="K108" s="82" t="s">
        <v>16</v>
      </c>
      <c r="L108" s="86" t="s">
        <v>3</v>
      </c>
      <c r="M108" s="82" t="s">
        <v>4</v>
      </c>
      <c r="N108" s="86" t="s">
        <v>13</v>
      </c>
    </row>
    <row r="109" spans="1:15" ht="10.5" customHeight="1" x14ac:dyDescent="0.25">
      <c r="A109" s="114" t="s">
        <v>137</v>
      </c>
      <c r="B109" s="93" t="s">
        <v>147</v>
      </c>
      <c r="C109" s="128" t="s">
        <v>17</v>
      </c>
      <c r="D109" s="93" t="s">
        <v>163</v>
      </c>
      <c r="E109" s="127" t="s">
        <v>141</v>
      </c>
      <c r="F109" s="127"/>
      <c r="G109" s="167"/>
      <c r="H109" s="67">
        <v>40000</v>
      </c>
      <c r="I109" s="163" t="s">
        <v>17</v>
      </c>
      <c r="J109" s="170">
        <f>J87</f>
        <v>8.5000000000000006E-3</v>
      </c>
      <c r="K109" s="114" t="s">
        <v>84</v>
      </c>
      <c r="L109" s="100">
        <f>H109*60*J109/7000</f>
        <v>2.9142857142857141</v>
      </c>
      <c r="M109" s="68">
        <f>L109*4.38</f>
        <v>12.764571428571427</v>
      </c>
      <c r="N109" s="111" t="s">
        <v>14</v>
      </c>
      <c r="O109" s="123" t="s">
        <v>17</v>
      </c>
    </row>
    <row r="110" spans="1:15" ht="10.5" customHeight="1" x14ac:dyDescent="0.25">
      <c r="A110" s="115"/>
      <c r="B110" s="98" t="s">
        <v>148</v>
      </c>
      <c r="C110" s="129"/>
      <c r="D110" s="93" t="s">
        <v>164</v>
      </c>
      <c r="E110" s="168" t="s">
        <v>142</v>
      </c>
      <c r="F110" s="168"/>
      <c r="G110" s="169"/>
      <c r="H110" s="67">
        <v>40000</v>
      </c>
      <c r="I110" s="164"/>
      <c r="J110" s="171"/>
      <c r="K110" s="162"/>
      <c r="L110" s="100">
        <f>H110*60*J109/7000</f>
        <v>2.9142857142857141</v>
      </c>
      <c r="M110" s="68">
        <f>L110*4.38</f>
        <v>12.764571428571427</v>
      </c>
      <c r="N110" s="162"/>
      <c r="O110" s="137"/>
    </row>
    <row r="111" spans="1:15" ht="10.5" customHeight="1" x14ac:dyDescent="0.25">
      <c r="A111" s="116"/>
      <c r="B111" s="90" t="s">
        <v>138</v>
      </c>
      <c r="C111" s="130"/>
      <c r="D111" s="86" t="s">
        <v>165</v>
      </c>
      <c r="E111" s="140" t="s">
        <v>139</v>
      </c>
      <c r="F111" s="140"/>
      <c r="G111" s="166"/>
      <c r="H111" s="67">
        <v>15000</v>
      </c>
      <c r="I111" s="165"/>
      <c r="J111" s="172"/>
      <c r="K111" s="155"/>
      <c r="L111" s="100">
        <f>H111*60*J109/7000</f>
        <v>1.092857142857143</v>
      </c>
      <c r="M111" s="18">
        <f>L111*4.38</f>
        <v>4.7867142857142859</v>
      </c>
      <c r="N111" s="155"/>
      <c r="O111" s="138"/>
    </row>
    <row r="112" spans="1:15" ht="10.5" customHeight="1" x14ac:dyDescent="0.25">
      <c r="A112" s="94" t="s">
        <v>133</v>
      </c>
      <c r="B112" s="91"/>
      <c r="C112" s="91"/>
      <c r="D112" s="81"/>
      <c r="E112" s="91"/>
      <c r="F112" s="14"/>
      <c r="G112" s="9"/>
      <c r="H112" s="15"/>
      <c r="I112" s="15"/>
      <c r="J112" s="15"/>
      <c r="K112" s="81"/>
      <c r="L112" s="85"/>
      <c r="M112" s="88"/>
      <c r="N112" s="81"/>
    </row>
    <row r="114" spans="1:6" ht="10.5" customHeight="1" x14ac:dyDescent="0.25">
      <c r="A114" s="2" t="s">
        <v>91</v>
      </c>
    </row>
    <row r="115" spans="1:6" ht="10.5" customHeight="1" x14ac:dyDescent="0.25">
      <c r="A115" s="78"/>
      <c r="B115" s="80"/>
      <c r="C115" s="78"/>
      <c r="D115" s="80"/>
      <c r="E115" s="78"/>
    </row>
    <row r="116" spans="1:6" ht="10.5" customHeight="1" x14ac:dyDescent="0.25">
      <c r="A116" s="86" t="s">
        <v>6</v>
      </c>
      <c r="B116" s="82" t="s">
        <v>98</v>
      </c>
      <c r="C116" s="86" t="s">
        <v>31</v>
      </c>
      <c r="D116" s="82" t="s">
        <v>83</v>
      </c>
      <c r="E116" s="86" t="s">
        <v>16</v>
      </c>
    </row>
    <row r="117" spans="1:6" ht="10.5" customHeight="1" x14ac:dyDescent="0.25">
      <c r="A117" s="98" t="s">
        <v>7</v>
      </c>
      <c r="B117" s="96" t="s">
        <v>99</v>
      </c>
      <c r="C117" s="70">
        <f>+M20+M99</f>
        <v>248.8716</v>
      </c>
      <c r="D117" s="96">
        <v>250</v>
      </c>
      <c r="E117" s="111" t="s">
        <v>30</v>
      </c>
    </row>
    <row r="118" spans="1:6" ht="10.5" customHeight="1" x14ac:dyDescent="0.25">
      <c r="A118" s="98" t="s">
        <v>8</v>
      </c>
      <c r="B118" s="96" t="s">
        <v>99</v>
      </c>
      <c r="C118" s="70">
        <f>+M21+M100</f>
        <v>247.11960000000002</v>
      </c>
      <c r="D118" s="96">
        <v>250</v>
      </c>
      <c r="E118" s="112"/>
    </row>
    <row r="119" spans="1:6" ht="10.5" customHeight="1" x14ac:dyDescent="0.25">
      <c r="A119" s="98" t="s">
        <v>9</v>
      </c>
      <c r="B119" s="96" t="s">
        <v>99</v>
      </c>
      <c r="C119" s="19">
        <f>+M22+M101</f>
        <v>30.7257</v>
      </c>
      <c r="D119" s="96">
        <v>250</v>
      </c>
      <c r="E119" s="112"/>
    </row>
    <row r="120" spans="1:6" ht="10.5" customHeight="1" x14ac:dyDescent="0.25">
      <c r="A120" s="98" t="s">
        <v>43</v>
      </c>
      <c r="B120" s="96" t="s">
        <v>45</v>
      </c>
      <c r="C120" s="19">
        <f>M4+M5+M6+M7+M9+M10+M8</f>
        <v>84.465000000000003</v>
      </c>
      <c r="D120" s="95" t="s">
        <v>17</v>
      </c>
      <c r="E120" s="112"/>
    </row>
    <row r="121" spans="1:6" ht="10.5" customHeight="1" x14ac:dyDescent="0.25">
      <c r="A121" s="98" t="s">
        <v>43</v>
      </c>
      <c r="B121" s="96" t="s">
        <v>99</v>
      </c>
      <c r="C121" s="70">
        <f>M23+M87+M57+M102+M41+M72+M109+M110+M111</f>
        <v>248.14577142857141</v>
      </c>
      <c r="D121" s="96">
        <v>250</v>
      </c>
      <c r="E121" s="112"/>
    </row>
    <row r="122" spans="1:6" ht="10.5" customHeight="1" x14ac:dyDescent="0.25">
      <c r="A122" s="98" t="s">
        <v>97</v>
      </c>
      <c r="B122" s="96" t="s">
        <v>45</v>
      </c>
      <c r="C122" s="77">
        <f>M11</f>
        <v>4.0149999999999997</v>
      </c>
      <c r="D122" s="95" t="s">
        <v>17</v>
      </c>
      <c r="E122" s="112"/>
    </row>
    <row r="123" spans="1:6" ht="10.5" customHeight="1" x14ac:dyDescent="0.25">
      <c r="A123" s="98" t="s">
        <v>97</v>
      </c>
      <c r="B123" s="96" t="s">
        <v>104</v>
      </c>
      <c r="C123" s="70">
        <f>M24+M58+M88+M42+M73+M103</f>
        <v>234.87915787312124</v>
      </c>
      <c r="D123" s="95" t="s">
        <v>17</v>
      </c>
      <c r="E123" s="112"/>
    </row>
    <row r="124" spans="1:6" ht="10.5" customHeight="1" x14ac:dyDescent="0.25">
      <c r="A124" s="98" t="s">
        <v>97</v>
      </c>
      <c r="B124" s="96" t="s">
        <v>105</v>
      </c>
      <c r="C124" s="70">
        <f>C123+C126+C127+C128</f>
        <v>240.93342971778145</v>
      </c>
      <c r="D124" s="96">
        <v>250</v>
      </c>
      <c r="E124" s="112"/>
      <c r="F124" s="94" t="s">
        <v>110</v>
      </c>
    </row>
    <row r="125" spans="1:6" ht="10.5" customHeight="1" x14ac:dyDescent="0.25">
      <c r="A125" s="98" t="s">
        <v>102</v>
      </c>
      <c r="B125" s="96" t="s">
        <v>99</v>
      </c>
      <c r="C125" s="19">
        <f>SUM(C126:C133)</f>
        <v>12.394592568567516</v>
      </c>
      <c r="D125" s="96">
        <v>25</v>
      </c>
      <c r="E125" s="112"/>
    </row>
    <row r="126" spans="1:6" ht="10.5" customHeight="1" x14ac:dyDescent="0.25">
      <c r="A126" s="98" t="s">
        <v>21</v>
      </c>
      <c r="B126" s="96" t="s">
        <v>99</v>
      </c>
      <c r="C126" s="100">
        <f>M25+M59+M89+M74+M43</f>
        <v>1.7422954721195987</v>
      </c>
      <c r="D126" s="96">
        <v>10</v>
      </c>
      <c r="E126" s="112"/>
    </row>
    <row r="127" spans="1:6" ht="10.5" customHeight="1" x14ac:dyDescent="0.25">
      <c r="A127" s="98" t="s">
        <v>22</v>
      </c>
      <c r="B127" s="96" t="s">
        <v>99</v>
      </c>
      <c r="C127" s="100">
        <f>M26+M60+M90+M75+M44</f>
        <v>2.346127330526679</v>
      </c>
      <c r="D127" s="96">
        <v>10</v>
      </c>
      <c r="E127" s="112"/>
    </row>
    <row r="128" spans="1:6" ht="10.5" customHeight="1" x14ac:dyDescent="0.25">
      <c r="A128" s="98" t="s">
        <v>23</v>
      </c>
      <c r="B128" s="96" t="s">
        <v>99</v>
      </c>
      <c r="C128" s="100">
        <f>M27+M61+M91+M76+M45</f>
        <v>1.9658490420139194</v>
      </c>
      <c r="D128" s="96">
        <v>10</v>
      </c>
      <c r="E128" s="112"/>
    </row>
    <row r="129" spans="1:5" ht="10.5" customHeight="1" x14ac:dyDescent="0.25">
      <c r="A129" s="98" t="s">
        <v>103</v>
      </c>
      <c r="B129" s="96" t="s">
        <v>99</v>
      </c>
      <c r="C129" s="100">
        <f>M28</f>
        <v>2.5080000000000022</v>
      </c>
      <c r="D129" s="95" t="s">
        <v>17</v>
      </c>
      <c r="E129" s="112"/>
    </row>
    <row r="130" spans="1:5" ht="10.5" customHeight="1" x14ac:dyDescent="0.25">
      <c r="A130" s="98" t="s">
        <v>37</v>
      </c>
      <c r="B130" s="96" t="s">
        <v>99</v>
      </c>
      <c r="C130" s="100">
        <f>M29+M62+M77+M46</f>
        <v>0.64940086725663682</v>
      </c>
      <c r="D130" s="96">
        <v>10</v>
      </c>
      <c r="E130" s="112"/>
    </row>
    <row r="131" spans="1:5" ht="10.5" customHeight="1" x14ac:dyDescent="0.25">
      <c r="A131" s="98" t="s">
        <v>38</v>
      </c>
      <c r="B131" s="96" t="s">
        <v>99</v>
      </c>
      <c r="C131" s="100">
        <f>M30+M63+M78+M47</f>
        <v>0.52413286725663699</v>
      </c>
      <c r="D131" s="96">
        <v>10</v>
      </c>
      <c r="E131" s="112"/>
    </row>
    <row r="132" spans="1:5" ht="10.5" customHeight="1" x14ac:dyDescent="0.25">
      <c r="A132" s="98" t="s">
        <v>39</v>
      </c>
      <c r="B132" s="96" t="s">
        <v>99</v>
      </c>
      <c r="C132" s="100">
        <f>M31+M64+M79+M48</f>
        <v>0.19512286725663708</v>
      </c>
      <c r="D132" s="96">
        <v>10</v>
      </c>
      <c r="E132" s="112"/>
    </row>
    <row r="133" spans="1:5" ht="10.5" customHeight="1" x14ac:dyDescent="0.25">
      <c r="A133" s="98" t="s">
        <v>36</v>
      </c>
      <c r="B133" s="96" t="s">
        <v>99</v>
      </c>
      <c r="C133" s="100">
        <f>M32</f>
        <v>2.4636641221374052</v>
      </c>
      <c r="D133" s="96">
        <v>10</v>
      </c>
      <c r="E133" s="113"/>
    </row>
  </sheetData>
  <mergeCells count="93">
    <mergeCell ref="F87:F91"/>
    <mergeCell ref="F20:F32"/>
    <mergeCell ref="I99:I103"/>
    <mergeCell ref="J99:J103"/>
    <mergeCell ref="K109:K111"/>
    <mergeCell ref="N109:N111"/>
    <mergeCell ref="E110:G110"/>
    <mergeCell ref="E111:G111"/>
    <mergeCell ref="E107:G107"/>
    <mergeCell ref="E108:G108"/>
    <mergeCell ref="A109:A111"/>
    <mergeCell ref="C109:C111"/>
    <mergeCell ref="O109:O111"/>
    <mergeCell ref="E109:G109"/>
    <mergeCell ref="D41:D48"/>
    <mergeCell ref="E41:E48"/>
    <mergeCell ref="A87:A91"/>
    <mergeCell ref="B87:B91"/>
    <mergeCell ref="C87:C91"/>
    <mergeCell ref="D87:D91"/>
    <mergeCell ref="E87:E91"/>
    <mergeCell ref="A99:A103"/>
    <mergeCell ref="B99:B103"/>
    <mergeCell ref="C99:C103"/>
    <mergeCell ref="D99:D103"/>
    <mergeCell ref="E99:E103"/>
    <mergeCell ref="K24:K32"/>
    <mergeCell ref="N77:N79"/>
    <mergeCell ref="J20:J22"/>
    <mergeCell ref="I24:I31"/>
    <mergeCell ref="I42:I48"/>
    <mergeCell ref="I73:I79"/>
    <mergeCell ref="N29:N32"/>
    <mergeCell ref="N24:N28"/>
    <mergeCell ref="I58:I64"/>
    <mergeCell ref="I20:I22"/>
    <mergeCell ref="D4:D11"/>
    <mergeCell ref="E10:E11"/>
    <mergeCell ref="N20:N22"/>
    <mergeCell ref="K20:K22"/>
    <mergeCell ref="I4:I11"/>
    <mergeCell ref="G4:G10"/>
    <mergeCell ref="F10:F11"/>
    <mergeCell ref="J4:J11"/>
    <mergeCell ref="K10:K11"/>
    <mergeCell ref="N10:N11"/>
    <mergeCell ref="F4:F8"/>
    <mergeCell ref="H4:H8"/>
    <mergeCell ref="K4:K8"/>
    <mergeCell ref="D20:D32"/>
    <mergeCell ref="E20:E32"/>
    <mergeCell ref="N4:N7"/>
    <mergeCell ref="A4:A11"/>
    <mergeCell ref="B4:B11"/>
    <mergeCell ref="C4:C11"/>
    <mergeCell ref="C41:C48"/>
    <mergeCell ref="A20:A32"/>
    <mergeCell ref="B20:B32"/>
    <mergeCell ref="C20:C32"/>
    <mergeCell ref="A41:A48"/>
    <mergeCell ref="B41:B48"/>
    <mergeCell ref="A57:A64"/>
    <mergeCell ref="B57:B64"/>
    <mergeCell ref="C57:C64"/>
    <mergeCell ref="K99:K103"/>
    <mergeCell ref="N99:N103"/>
    <mergeCell ref="C72:C79"/>
    <mergeCell ref="D72:D79"/>
    <mergeCell ref="E72:E79"/>
    <mergeCell ref="A72:A79"/>
    <mergeCell ref="B72:B79"/>
    <mergeCell ref="I88:I91"/>
    <mergeCell ref="K73:K79"/>
    <mergeCell ref="D57:D64"/>
    <mergeCell ref="E57:E64"/>
    <mergeCell ref="F57:F64"/>
    <mergeCell ref="J88:J91"/>
    <mergeCell ref="E117:E133"/>
    <mergeCell ref="L88:L91"/>
    <mergeCell ref="N88:N91"/>
    <mergeCell ref="K88:K91"/>
    <mergeCell ref="K42:K48"/>
    <mergeCell ref="N42:N45"/>
    <mergeCell ref="N46:N48"/>
    <mergeCell ref="N73:N76"/>
    <mergeCell ref="N62:N64"/>
    <mergeCell ref="K58:K64"/>
    <mergeCell ref="N58:N61"/>
    <mergeCell ref="F41:F48"/>
    <mergeCell ref="F72:F79"/>
    <mergeCell ref="I109:I111"/>
    <mergeCell ref="J109:J111"/>
    <mergeCell ref="F99:F103"/>
  </mergeCells>
  <pageMargins left="0.75" right="0.75" top="1.1499999999999999" bottom="0.5" header="0.65" footer="0.5"/>
  <pageSetup scale="70" orientation="landscape" r:id="rId1"/>
  <headerFooter>
    <oddHeader>&amp;C&amp;"-,Italic"&amp;9Spectrum Energy Georgia LLC
&amp;F
&amp;A</oddHeader>
  </headerFooter>
  <rowBreaks count="1" manualBreakCount="1">
    <brk id="68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10803-07C4-4E55-A5E9-E991FD70D74A}">
  <dimension ref="A1:G32"/>
  <sheetViews>
    <sheetView workbookViewId="0">
      <selection activeCell="I14" sqref="I14"/>
    </sheetView>
  </sheetViews>
  <sheetFormatPr defaultRowHeight="15" x14ac:dyDescent="0.25"/>
  <cols>
    <col min="1" max="6" width="11.5703125" style="21" customWidth="1"/>
    <col min="7" max="7" width="9.5703125" style="21" bestFit="1" customWidth="1"/>
    <col min="8" max="16384" width="9.140625" style="21"/>
  </cols>
  <sheetData>
    <row r="1" spans="1:7" x14ac:dyDescent="0.25">
      <c r="A1" s="21" t="s">
        <v>7</v>
      </c>
      <c r="C1" s="21" t="s">
        <v>52</v>
      </c>
      <c r="D1" s="21" t="s">
        <v>7</v>
      </c>
      <c r="E1" s="21" t="s">
        <v>8</v>
      </c>
      <c r="F1" s="21" t="s">
        <v>7</v>
      </c>
      <c r="G1" s="21" t="s">
        <v>8</v>
      </c>
    </row>
    <row r="2" spans="1:7" x14ac:dyDescent="0.25">
      <c r="A2" s="21" t="s">
        <v>48</v>
      </c>
      <c r="B2" s="22">
        <v>43609</v>
      </c>
      <c r="C2" s="24">
        <v>50</v>
      </c>
      <c r="D2" s="21">
        <v>4.13</v>
      </c>
      <c r="E2" s="21">
        <v>21.25</v>
      </c>
      <c r="F2" s="23">
        <f>D2/C2</f>
        <v>8.2599999999999993E-2</v>
      </c>
      <c r="G2" s="23">
        <f>E2/C2</f>
        <v>0.42499999999999999</v>
      </c>
    </row>
    <row r="3" spans="1:7" x14ac:dyDescent="0.25">
      <c r="A3" s="21" t="s">
        <v>49</v>
      </c>
      <c r="B3" s="22">
        <v>43615</v>
      </c>
      <c r="C3" s="24">
        <v>62.4</v>
      </c>
      <c r="D3" s="21">
        <v>11.49</v>
      </c>
      <c r="E3" s="21">
        <v>10.029999999999999</v>
      </c>
      <c r="F3" s="23">
        <f t="shared" ref="F3:F7" si="0">D3/C3</f>
        <v>0.1841346153846154</v>
      </c>
      <c r="G3" s="23">
        <f t="shared" ref="G3:G7" si="1">E3/C3</f>
        <v>0.16073717948717947</v>
      </c>
    </row>
    <row r="4" spans="1:7" x14ac:dyDescent="0.25">
      <c r="A4" s="21" t="s">
        <v>50</v>
      </c>
      <c r="B4" s="22">
        <v>44230</v>
      </c>
      <c r="C4" s="24">
        <v>40</v>
      </c>
      <c r="D4" s="21">
        <v>1.73</v>
      </c>
      <c r="E4" s="21">
        <v>9.5299999999999994</v>
      </c>
      <c r="F4" s="23">
        <f t="shared" si="0"/>
        <v>4.3249999999999997E-2</v>
      </c>
      <c r="G4" s="23">
        <f t="shared" si="1"/>
        <v>0.23824999999999999</v>
      </c>
    </row>
    <row r="5" spans="1:7" x14ac:dyDescent="0.25">
      <c r="A5" s="21" t="s">
        <v>50</v>
      </c>
      <c r="B5" s="22">
        <v>44349</v>
      </c>
      <c r="C5" s="24">
        <v>40</v>
      </c>
      <c r="D5" s="21">
        <v>1.77</v>
      </c>
      <c r="E5" s="21">
        <v>14.74</v>
      </c>
      <c r="F5" s="23">
        <f t="shared" si="0"/>
        <v>4.4249999999999998E-2</v>
      </c>
      <c r="G5" s="23">
        <f t="shared" si="1"/>
        <v>0.36849999999999999</v>
      </c>
    </row>
    <row r="6" spans="1:7" x14ac:dyDescent="0.25">
      <c r="A6" s="21" t="s">
        <v>51</v>
      </c>
      <c r="B6" s="22">
        <v>44299</v>
      </c>
      <c r="C6" s="24">
        <v>40</v>
      </c>
      <c r="D6" s="21">
        <v>2.77</v>
      </c>
      <c r="E6" s="21">
        <v>14.65</v>
      </c>
      <c r="F6" s="23">
        <f t="shared" si="0"/>
        <v>6.9250000000000006E-2</v>
      </c>
      <c r="G6" s="23">
        <f t="shared" si="1"/>
        <v>0.36625000000000002</v>
      </c>
    </row>
    <row r="7" spans="1:7" x14ac:dyDescent="0.25">
      <c r="A7" s="21" t="s">
        <v>53</v>
      </c>
      <c r="B7" s="22">
        <v>44264</v>
      </c>
      <c r="C7" s="24">
        <v>150</v>
      </c>
      <c r="D7" s="21">
        <v>26.56</v>
      </c>
      <c r="E7" s="21">
        <v>36.08</v>
      </c>
      <c r="F7" s="23">
        <f t="shared" si="0"/>
        <v>0.17706666666666665</v>
      </c>
      <c r="G7" s="23">
        <f t="shared" si="1"/>
        <v>0.24053333333333332</v>
      </c>
    </row>
    <row r="9" spans="1:7" x14ac:dyDescent="0.25">
      <c r="A9" s="21" t="s">
        <v>62</v>
      </c>
    </row>
    <row r="10" spans="1:7" x14ac:dyDescent="0.25">
      <c r="A10" s="21" t="s">
        <v>58</v>
      </c>
      <c r="B10" s="22"/>
    </row>
    <row r="11" spans="1:7" x14ac:dyDescent="0.25">
      <c r="A11" s="21" t="s">
        <v>57</v>
      </c>
      <c r="B11" s="22"/>
    </row>
    <row r="12" spans="1:7" x14ac:dyDescent="0.25">
      <c r="A12" s="21" t="s">
        <v>73</v>
      </c>
      <c r="B12" s="22"/>
    </row>
    <row r="13" spans="1:7" x14ac:dyDescent="0.25">
      <c r="A13" s="21" t="s">
        <v>59</v>
      </c>
    </row>
    <row r="14" spans="1:7" x14ac:dyDescent="0.25">
      <c r="A14" s="21" t="s">
        <v>67</v>
      </c>
    </row>
    <row r="15" spans="1:7" x14ac:dyDescent="0.25">
      <c r="A15" s="21" t="s">
        <v>61</v>
      </c>
    </row>
    <row r="16" spans="1:7" x14ac:dyDescent="0.25">
      <c r="A16" s="21" t="s">
        <v>60</v>
      </c>
    </row>
    <row r="17" spans="1:1" x14ac:dyDescent="0.25">
      <c r="A17" s="21" t="s">
        <v>69</v>
      </c>
    </row>
    <row r="18" spans="1:1" x14ac:dyDescent="0.25">
      <c r="A18" s="21" t="s">
        <v>70</v>
      </c>
    </row>
    <row r="20" spans="1:1" x14ac:dyDescent="0.25">
      <c r="A20" s="21" t="s">
        <v>63</v>
      </c>
    </row>
    <row r="21" spans="1:1" x14ac:dyDescent="0.25">
      <c r="A21" s="21" t="s">
        <v>65</v>
      </c>
    </row>
    <row r="22" spans="1:1" x14ac:dyDescent="0.25">
      <c r="A22" s="21" t="s">
        <v>64</v>
      </c>
    </row>
    <row r="23" spans="1:1" x14ac:dyDescent="0.25">
      <c r="A23" s="21" t="s">
        <v>66</v>
      </c>
    </row>
    <row r="24" spans="1:1" x14ac:dyDescent="0.25">
      <c r="A24" s="21" t="s">
        <v>74</v>
      </c>
    </row>
    <row r="25" spans="1:1" x14ac:dyDescent="0.25">
      <c r="A25" s="21" t="s">
        <v>75</v>
      </c>
    </row>
    <row r="26" spans="1:1" x14ac:dyDescent="0.25">
      <c r="A26" s="21" t="s">
        <v>68</v>
      </c>
    </row>
    <row r="27" spans="1:1" x14ac:dyDescent="0.25">
      <c r="A27" s="21" t="s">
        <v>71</v>
      </c>
    </row>
    <row r="28" spans="1:1" x14ac:dyDescent="0.25">
      <c r="A28" s="21" t="s">
        <v>72</v>
      </c>
    </row>
    <row r="30" spans="1:1" x14ac:dyDescent="0.25">
      <c r="A30" s="21" t="s">
        <v>76</v>
      </c>
    </row>
    <row r="31" spans="1:1" x14ac:dyDescent="0.25">
      <c r="A31" s="21" t="s">
        <v>77</v>
      </c>
    </row>
    <row r="32" spans="1:1" x14ac:dyDescent="0.25">
      <c r="A32" s="21" t="s">
        <v>78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Phase 1 Calculations</vt:lpstr>
      <vt:lpstr>Phase 2 Calculations</vt:lpstr>
      <vt:lpstr>Sheet1</vt:lpstr>
      <vt:lpstr>'Phase 1 Calculations'!Print_Area</vt:lpstr>
      <vt:lpstr>'Phase 2 Calculations'!Print_Area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Cloud, Todd</dc:creator>
  <cp:lastModifiedBy>Todd</cp:lastModifiedBy>
  <cp:lastPrinted>2021-10-17T16:17:13Z</cp:lastPrinted>
  <dcterms:created xsi:type="dcterms:W3CDTF">2017-10-27T20:51:02Z</dcterms:created>
  <dcterms:modified xsi:type="dcterms:W3CDTF">2021-10-17T16:18:23Z</dcterms:modified>
</cp:coreProperties>
</file>